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" yWindow="48" windowWidth="9336" windowHeight="1800" tabRatio="944" activeTab="1"/>
  </bookViews>
  <sheets>
    <sheet name="Triodes and r  Rp " sheetId="2" r:id="rId1"/>
    <sheet name="Mu Circuit spreadsheet Tables" sheetId="6" r:id="rId2"/>
  </sheets>
  <calcPr calcId="125725"/>
</workbook>
</file>

<file path=xl/calcChain.xml><?xml version="1.0" encoding="utf-8"?>
<calcChain xmlns="http://schemas.openxmlformats.org/spreadsheetml/2006/main">
  <c r="K15" i="6"/>
  <c r="AB15"/>
  <c r="M17"/>
  <c r="H23" i="2"/>
  <c r="J23" s="1"/>
  <c r="H22"/>
  <c r="J22" s="1"/>
  <c r="H21"/>
  <c r="J21" s="1"/>
  <c r="H20"/>
  <c r="J20" s="1"/>
  <c r="H19"/>
  <c r="J19" s="1"/>
  <c r="H18"/>
  <c r="J18" s="1"/>
  <c r="H17"/>
  <c r="J17" s="1"/>
  <c r="H16"/>
  <c r="J16" s="1"/>
  <c r="H15"/>
  <c r="J15" s="1"/>
  <c r="H14"/>
  <c r="H13"/>
  <c r="J13" s="1"/>
  <c r="H12"/>
  <c r="J12" s="1"/>
  <c r="H11"/>
  <c r="J11" s="1"/>
  <c r="H10"/>
  <c r="J10" s="1"/>
  <c r="H9"/>
  <c r="J9" s="1"/>
  <c r="H8"/>
  <c r="J8" s="1"/>
  <c r="H7"/>
  <c r="H6"/>
  <c r="J6" s="1"/>
  <c r="J7"/>
  <c r="J14"/>
  <c r="K59" i="6"/>
  <c r="K58"/>
  <c r="K57"/>
  <c r="K56"/>
  <c r="M54"/>
  <c r="M51"/>
  <c r="M49"/>
  <c r="M48"/>
  <c r="M47"/>
  <c r="M43"/>
  <c r="M39"/>
  <c r="M38"/>
  <c r="M34" s="1"/>
  <c r="K26"/>
  <c r="K25"/>
  <c r="M20"/>
  <c r="M18"/>
  <c r="M12"/>
  <c r="K9"/>
  <c r="K28" s="1"/>
  <c r="M44" l="1"/>
  <c r="P40" s="1"/>
  <c r="M55"/>
  <c r="M60" s="1"/>
  <c r="M37"/>
  <c r="M46" s="1"/>
  <c r="M7"/>
  <c r="M3" s="1"/>
  <c r="M5" s="1"/>
  <c r="M36"/>
  <c r="P41"/>
  <c r="K55"/>
  <c r="P39" s="1"/>
  <c r="M45"/>
  <c r="M35"/>
  <c r="M52"/>
  <c r="M53" s="1"/>
  <c r="M59" s="1"/>
  <c r="M50" s="1"/>
  <c r="K60"/>
  <c r="M8"/>
  <c r="M16"/>
  <c r="M4" s="1"/>
  <c r="K27"/>
  <c r="M13" s="1"/>
  <c r="M6"/>
  <c r="M15" s="1"/>
  <c r="M23"/>
  <c r="M21"/>
  <c r="K29"/>
  <c r="I22" i="2"/>
  <c r="I19"/>
  <c r="I18"/>
  <c r="I15"/>
  <c r="I13"/>
  <c r="I6"/>
  <c r="E38" i="6"/>
  <c r="V7"/>
  <c r="AD7"/>
  <c r="E39"/>
  <c r="V8"/>
  <c r="AD8"/>
  <c r="C9"/>
  <c r="C28" s="1"/>
  <c r="E12"/>
  <c r="E43"/>
  <c r="V12"/>
  <c r="AD12"/>
  <c r="C15"/>
  <c r="E17" s="1"/>
  <c r="E47"/>
  <c r="V16"/>
  <c r="AD16"/>
  <c r="E48"/>
  <c r="V17"/>
  <c r="AD17"/>
  <c r="E18"/>
  <c r="E49"/>
  <c r="V18"/>
  <c r="AD18"/>
  <c r="E20"/>
  <c r="E51"/>
  <c r="V20"/>
  <c r="AD20"/>
  <c r="E54"/>
  <c r="V23"/>
  <c r="AD23"/>
  <c r="C25"/>
  <c r="C56"/>
  <c r="E52" s="1"/>
  <c r="E53" s="1"/>
  <c r="E59" s="1"/>
  <c r="E50" s="1"/>
  <c r="T25"/>
  <c r="AB25"/>
  <c r="C26"/>
  <c r="C57"/>
  <c r="T26"/>
  <c r="AB26"/>
  <c r="C58"/>
  <c r="T27"/>
  <c r="AB27"/>
  <c r="C59"/>
  <c r="T28"/>
  <c r="AB28"/>
  <c r="I14" i="2"/>
  <c r="I7"/>
  <c r="I9"/>
  <c r="I21"/>
  <c r="P36" i="6" l="1"/>
  <c r="P37" s="1"/>
  <c r="O36"/>
  <c r="O37" s="1"/>
  <c r="M56"/>
  <c r="O10"/>
  <c r="M58"/>
  <c r="M57"/>
  <c r="M40"/>
  <c r="P38"/>
  <c r="O41"/>
  <c r="O38"/>
  <c r="O39"/>
  <c r="P19"/>
  <c r="P9"/>
  <c r="P20"/>
  <c r="K24"/>
  <c r="M24"/>
  <c r="O5"/>
  <c r="O8"/>
  <c r="O7"/>
  <c r="M9"/>
  <c r="P10"/>
  <c r="M14"/>
  <c r="E21"/>
  <c r="AD24"/>
  <c r="AD27" s="1"/>
  <c r="C60"/>
  <c r="AD3"/>
  <c r="AD5" s="1"/>
  <c r="E44"/>
  <c r="H40" s="1"/>
  <c r="AG20"/>
  <c r="C55"/>
  <c r="H39" s="1"/>
  <c r="E55"/>
  <c r="E60" s="1"/>
  <c r="E35"/>
  <c r="E16"/>
  <c r="E4" s="1"/>
  <c r="E34"/>
  <c r="E36" s="1"/>
  <c r="AD13"/>
  <c r="AG19" s="1"/>
  <c r="T24"/>
  <c r="Y7" s="1"/>
  <c r="T29"/>
  <c r="AB24"/>
  <c r="AG5" s="1"/>
  <c r="V21"/>
  <c r="V6"/>
  <c r="V14" s="1"/>
  <c r="AB29"/>
  <c r="Y10"/>
  <c r="AD21"/>
  <c r="V24"/>
  <c r="V27" s="1"/>
  <c r="V4"/>
  <c r="V3"/>
  <c r="V5" s="1"/>
  <c r="V13"/>
  <c r="Y9" s="1"/>
  <c r="I11" i="2"/>
  <c r="I8"/>
  <c r="I10"/>
  <c r="I23"/>
  <c r="I20"/>
  <c r="I12"/>
  <c r="I16"/>
  <c r="I17"/>
  <c r="Y8" i="6"/>
  <c r="E37"/>
  <c r="E40" s="1"/>
  <c r="AD4"/>
  <c r="AG10"/>
  <c r="H41"/>
  <c r="E8"/>
  <c r="E7"/>
  <c r="E3" s="1"/>
  <c r="AD6"/>
  <c r="AD14" s="1"/>
  <c r="C29"/>
  <c r="C27"/>
  <c r="E13" s="1"/>
  <c r="E23"/>
  <c r="M42" l="1"/>
  <c r="O40" s="1"/>
  <c r="V25"/>
  <c r="V9"/>
  <c r="V15"/>
  <c r="E57"/>
  <c r="AD26"/>
  <c r="P18"/>
  <c r="P8"/>
  <c r="P5"/>
  <c r="P7"/>
  <c r="P17"/>
  <c r="P15"/>
  <c r="O6"/>
  <c r="M11"/>
  <c r="O9" s="1"/>
  <c r="M26"/>
  <c r="M25"/>
  <c r="M29"/>
  <c r="O15"/>
  <c r="O17" s="1"/>
  <c r="M27"/>
  <c r="E46"/>
  <c r="G41"/>
  <c r="V26"/>
  <c r="H38"/>
  <c r="AD25"/>
  <c r="Y5"/>
  <c r="V29"/>
  <c r="E56"/>
  <c r="AD29"/>
  <c r="AG9"/>
  <c r="G38"/>
  <c r="E58"/>
  <c r="H10"/>
  <c r="H36"/>
  <c r="H37" s="1"/>
  <c r="AG8"/>
  <c r="AG15"/>
  <c r="AG17"/>
  <c r="AG18"/>
  <c r="AF10"/>
  <c r="AG7"/>
  <c r="X10"/>
  <c r="AF8"/>
  <c r="AF7"/>
  <c r="E24"/>
  <c r="G10"/>
  <c r="E5"/>
  <c r="G36"/>
  <c r="G39"/>
  <c r="H19"/>
  <c r="H9"/>
  <c r="AG16"/>
  <c r="AG6"/>
  <c r="E6"/>
  <c r="X7"/>
  <c r="X5"/>
  <c r="X8"/>
  <c r="AD15"/>
  <c r="AD9"/>
  <c r="H20"/>
  <c r="C24"/>
  <c r="E45"/>
  <c r="AF5"/>
  <c r="V22" l="1"/>
  <c r="V28" s="1"/>
  <c r="V19" s="1"/>
  <c r="Y6"/>
  <c r="O20"/>
  <c r="O18"/>
  <c r="AF20"/>
  <c r="P16"/>
  <c r="P6"/>
  <c r="O16"/>
  <c r="M22"/>
  <c r="M28" s="1"/>
  <c r="M19" s="1"/>
  <c r="O19" s="1"/>
  <c r="AF15"/>
  <c r="E14"/>
  <c r="E15"/>
  <c r="G5"/>
  <c r="G8"/>
  <c r="G7"/>
  <c r="AF6"/>
  <c r="AD11"/>
  <c r="AF9" s="1"/>
  <c r="E42"/>
  <c r="G40" s="1"/>
  <c r="G37"/>
  <c r="E25"/>
  <c r="E26"/>
  <c r="E29"/>
  <c r="V11"/>
  <c r="X9" s="1"/>
  <c r="X6"/>
  <c r="H8"/>
  <c r="H18"/>
  <c r="H5"/>
  <c r="H15"/>
  <c r="H7"/>
  <c r="H17"/>
  <c r="E27"/>
  <c r="E9"/>
  <c r="AF17" l="1"/>
  <c r="AD22"/>
  <c r="AD28" s="1"/>
  <c r="AD19" s="1"/>
  <c r="AF19" s="1"/>
  <c r="AF18"/>
  <c r="AF16"/>
  <c r="G20"/>
  <c r="H6"/>
  <c r="H16"/>
  <c r="G15"/>
  <c r="G6"/>
  <c r="E11"/>
  <c r="G9" s="1"/>
  <c r="G16" l="1"/>
  <c r="E22"/>
  <c r="E28" s="1"/>
  <c r="E19" s="1"/>
  <c r="G19" s="1"/>
  <c r="G18"/>
  <c r="G17"/>
</calcChain>
</file>

<file path=xl/connections.xml><?xml version="1.0" encoding="utf-8"?>
<connections xmlns="http://schemas.openxmlformats.org/spreadsheetml/2006/main">
  <connection id="1" name="101" type="6" refreshedVersion="3" background="1" saveData="1">
    <textPr codePage="437" sourceFile="A:\1." comma="1">
      <textFields count="3">
        <textField/>
        <textField/>
        <textField/>
      </textFields>
    </textPr>
  </connection>
  <connection id="2" name="11" type="6" refreshedVersion="3" background="1" saveData="1">
    <textPr codePage="437" sourceFile="A:\11." comma="1">
      <textFields count="3">
        <textField/>
        <textField/>
        <textField/>
      </textFields>
    </textPr>
  </connection>
  <connection id="3" name="12" type="6" refreshedVersion="3" background="1" saveData="1">
    <textPr codePage="437" sourceFile="A:\12." comma="1">
      <textFields count="3">
        <textField/>
        <textField/>
        <textField/>
      </textFields>
    </textPr>
  </connection>
  <connection id="4" name="13" type="6" refreshedVersion="3" background="1" saveData="1">
    <textPr codePage="437" sourceFile="A:\13." comma="1">
      <textFields count="3">
        <textField/>
        <textField/>
        <textField/>
      </textFields>
    </textPr>
  </connection>
  <connection id="5" name="131" type="6" refreshedVersion="3" background="1" saveData="1">
    <textPr codePage="437" sourceFile="A:\13." comma="1">
      <textFields count="3">
        <textField/>
        <textField/>
        <textField/>
      </textFields>
    </textPr>
  </connection>
  <connection id="6" name="14" type="6" refreshedVersion="3" background="1" saveData="1">
    <textPr codePage="437" sourceFile="A:\14." comma="1">
      <textFields count="3">
        <textField/>
        <textField/>
        <textField/>
      </textFields>
    </textPr>
  </connection>
  <connection id="7" name="141" type="6" refreshedVersion="3" background="1" saveData="1">
    <textPr codePage="437" sourceFile="A:\14." comma="1">
      <textFields count="3">
        <textField/>
        <textField/>
        <textField/>
      </textFields>
    </textPr>
  </connection>
  <connection id="8" name="15" type="6" refreshedVersion="3" background="1">
    <textPr codePage="437" sourceFile="A:\1." comma="1">
      <textFields count="3">
        <textField/>
        <textField/>
        <textField/>
      </textFields>
    </textPr>
  </connection>
  <connection id="9" name="3" type="6" refreshedVersion="3" background="1">
    <textPr codePage="437" sourceFile="A:\4." comma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<sst xmlns="http://schemas.openxmlformats.org/spreadsheetml/2006/main" count="493" uniqueCount="105">
  <si>
    <t>Rp</t>
  </si>
  <si>
    <t>alpha</t>
  </si>
  <si>
    <t>gamma</t>
  </si>
  <si>
    <t>Rs</t>
  </si>
  <si>
    <t>RL</t>
  </si>
  <si>
    <t>Rg</t>
  </si>
  <si>
    <t>Rpg_gamma (MF)</t>
  </si>
  <si>
    <t>RaRg (MS)</t>
  </si>
  <si>
    <t>g_load_tot (MF)</t>
  </si>
  <si>
    <t>arRag (MS)</t>
  </si>
  <si>
    <t>r (MS and MF)</t>
  </si>
  <si>
    <t>g_load_tot (MS)</t>
  </si>
  <si>
    <t>Gain</t>
  </si>
  <si>
    <t>PSRR</t>
  </si>
  <si>
    <t>Zout</t>
  </si>
  <si>
    <t>FOM (MF)</t>
  </si>
  <si>
    <t>FOM (MS)</t>
  </si>
  <si>
    <t>Ec</t>
  </si>
  <si>
    <t>mu</t>
  </si>
  <si>
    <t>12B4</t>
  </si>
  <si>
    <t>6BX7</t>
  </si>
  <si>
    <t>6H30</t>
  </si>
  <si>
    <t>6BL7</t>
  </si>
  <si>
    <t>12BH7</t>
  </si>
  <si>
    <t>12AU7</t>
  </si>
  <si>
    <t>7189 / 6BQ5</t>
  </si>
  <si>
    <t>6CG7 / 6FQ7 / 6J5 / 6SN7</t>
  </si>
  <si>
    <t>6DJ8</t>
  </si>
  <si>
    <t>6N1P</t>
  </si>
  <si>
    <t>6CA7</t>
  </si>
  <si>
    <t>Rp1</t>
  </si>
  <si>
    <t>Rp2</t>
  </si>
  <si>
    <t>Rassy1</t>
  </si>
  <si>
    <t>Rassy2</t>
  </si>
  <si>
    <t>Rk1</t>
  </si>
  <si>
    <t>rp1</t>
  </si>
  <si>
    <t>Rsp</t>
  </si>
  <si>
    <t>rp2</t>
  </si>
  <si>
    <t>mu1</t>
  </si>
  <si>
    <t>gm2</t>
  </si>
  <si>
    <t>ohms</t>
  </si>
  <si>
    <t>Rpg</t>
  </si>
  <si>
    <t>Req</t>
  </si>
  <si>
    <t>r</t>
  </si>
  <si>
    <t>Rsrc</t>
  </si>
  <si>
    <t>intuitive</t>
  </si>
  <si>
    <t>exact</t>
  </si>
  <si>
    <t>D3a pentode</t>
  </si>
  <si>
    <t>top</t>
  </si>
  <si>
    <t>bottom</t>
  </si>
  <si>
    <t>EL34 pentode</t>
  </si>
  <si>
    <t>7236 triode</t>
  </si>
  <si>
    <t>6DJ8 triode</t>
  </si>
  <si>
    <t>bypassed Rk1</t>
  </si>
  <si>
    <t>unbypassed Rk1</t>
  </si>
  <si>
    <t>6AU6 pentode</t>
  </si>
  <si>
    <t>volts DC</t>
  </si>
  <si>
    <t>amps DC</t>
  </si>
  <si>
    <t>Eb</t>
  </si>
  <si>
    <t>Ib</t>
  </si>
  <si>
    <t>Rassy</t>
  </si>
  <si>
    <t>rp2 || Rs</t>
  </si>
  <si>
    <t>RspL = Rs || rp2 || RL</t>
  </si>
  <si>
    <t>g = gm2 + 1/Rp</t>
  </si>
  <si>
    <t>Rasy2/(R*beta*RspL)</t>
  </si>
  <si>
    <t>beta = Rasy2/RspL +g*Rasy2 +1</t>
  </si>
  <si>
    <t>1/(beta*RspL) + 1/Rasy1</t>
  </si>
  <si>
    <t>g/beta + 1/Rg</t>
  </si>
  <si>
    <t>1/(Rp*beta)+1/Rg</t>
  </si>
  <si>
    <t>Gain (normalized to mu)</t>
  </si>
  <si>
    <t>Ebb, V</t>
  </si>
  <si>
    <t>MF biasing</t>
  </si>
  <si>
    <t>MS biasing</t>
  </si>
  <si>
    <t>Triode current, mA</t>
  </si>
  <si>
    <t>Triode plate voltage, V</t>
  </si>
  <si>
    <t>X-ode cathode current, mA</t>
  </si>
  <si>
    <t>---</t>
  </si>
  <si>
    <t>Triode plate load</t>
  </si>
  <si>
    <t>MF X-ode cathode load</t>
  </si>
  <si>
    <t>X-ode cathode load</t>
  </si>
  <si>
    <t>Rg*Rp+Rg*r+Rp*r</t>
  </si>
  <si>
    <t>Vasy between Rasy1 and Rasy2</t>
  </si>
  <si>
    <t>eg2</t>
  </si>
  <si>
    <t>current leaving X-ode</t>
  </si>
  <si>
    <t>Comments, not used in calculations:</t>
  </si>
  <si>
    <t>XL intuitive</t>
  </si>
  <si>
    <t xml:space="preserve">1 + r/Rp </t>
  </si>
  <si>
    <t>rp</t>
  </si>
  <si>
    <t>MS biasing (none - there is no Rasy resistor)</t>
  </si>
  <si>
    <t>r / Rp</t>
  </si>
  <si>
    <t>Figure 5a. Goliath</t>
  </si>
  <si>
    <t>Rk1  bypassed</t>
  </si>
  <si>
    <t>Rk1  unbypassed</t>
  </si>
  <si>
    <t>Figure 5e. 6DJ8 pair</t>
  </si>
  <si>
    <t>Figure 5f. A 6AU6 pentode on top of a 6DJ8</t>
  </si>
  <si>
    <t>Figure 5c. A Low Mu Triode</t>
  </si>
  <si>
    <t>Figure 5d. A Low Mu Triode, Rp1 added, Rg increased</t>
  </si>
  <si>
    <t>27 triode</t>
  </si>
  <si>
    <t>Total drop across  Rk1, Rp and the Triode, volts:</t>
  </si>
  <si>
    <t>Cells with black text are spreadsheet inputs; those with white text are spreadsheet calculations.</t>
  </si>
  <si>
    <t>6BX7 triode</t>
  </si>
  <si>
    <t>Figure 5b. Goliath, Triode replaced by 6BX7, Rg by 470K</t>
  </si>
  <si>
    <t>Triode (U1) part numbers</t>
  </si>
  <si>
    <t xml:space="preserve">A list of Triodes and their parameters configured to minimize the ratio r / Rp. </t>
  </si>
  <si>
    <t>Note: Rp = Rp1 + Rp2</t>
  </si>
</sst>
</file>

<file path=xl/styles.xml><?xml version="1.0" encoding="utf-8"?>
<styleSheet xmlns="http://schemas.openxmlformats.org/spreadsheetml/2006/main">
  <numFmts count="9">
    <numFmt numFmtId="164" formatCode="0.00000"/>
    <numFmt numFmtId="165" formatCode="0.000"/>
    <numFmt numFmtId="166" formatCode="0.0000"/>
    <numFmt numFmtId="167" formatCode="0.0000E+00"/>
    <numFmt numFmtId="168" formatCode="0.0"/>
    <numFmt numFmtId="169" formatCode="0.000000"/>
    <numFmt numFmtId="171" formatCode="0.000000E+00"/>
    <numFmt numFmtId="172" formatCode="0.E+00"/>
    <numFmt numFmtId="173" formatCode="0.00000E+00"/>
  </numFmts>
  <fonts count="14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</font>
    <font>
      <sz val="8"/>
      <color theme="0"/>
      <name val="Calibri"/>
      <family val="2"/>
    </font>
    <font>
      <sz val="8"/>
      <color theme="0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22"/>
      <name val="Calibri"/>
      <family val="2"/>
    </font>
    <font>
      <b/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0" borderId="0" xfId="0" applyFont="1"/>
    <xf numFmtId="168" fontId="4" fillId="0" borderId="0" xfId="0" applyNumberFormat="1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28" xfId="0" applyFont="1" applyBorder="1" applyAlignment="1">
      <alignment horizontal="center"/>
    </xf>
    <xf numFmtId="2" fontId="4" fillId="0" borderId="27" xfId="0" applyNumberFormat="1" applyFont="1" applyBorder="1" applyAlignment="1">
      <alignment horizontal="center"/>
    </xf>
    <xf numFmtId="1" fontId="4" fillId="0" borderId="27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166" fontId="6" fillId="2" borderId="2" xfId="0" applyNumberFormat="1" applyFont="1" applyFill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6" fontId="6" fillId="2" borderId="0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5" fontId="8" fillId="4" borderId="15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" fontId="6" fillId="3" borderId="15" xfId="0" applyNumberFormat="1" applyFont="1" applyFill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2" fontId="1" fillId="0" borderId="9" xfId="0" applyNumberFormat="1" applyFont="1" applyBorder="1" applyAlignment="1">
      <alignment horizontal="center" vertical="center"/>
    </xf>
    <xf numFmtId="168" fontId="8" fillId="4" borderId="15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11" fontId="9" fillId="4" borderId="15" xfId="0" applyNumberFormat="1" applyFont="1" applyFill="1" applyBorder="1" applyAlignment="1">
      <alignment horizontal="center" vertical="center"/>
    </xf>
    <xf numFmtId="11" fontId="6" fillId="3" borderId="15" xfId="0" applyNumberFormat="1" applyFont="1" applyFill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1" fontId="8" fillId="4" borderId="1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1" fontId="6" fillId="0" borderId="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5" fontId="9" fillId="4" borderId="15" xfId="0" applyNumberFormat="1" applyFont="1" applyFill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168" fontId="9" fillId="4" borderId="15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166" fontId="6" fillId="0" borderId="0" xfId="0" applyNumberFormat="1" applyFont="1" applyBorder="1" applyAlignment="1">
      <alignment vertical="center"/>
    </xf>
    <xf numFmtId="0" fontId="6" fillId="0" borderId="0" xfId="0" quotePrefix="1" applyFont="1" applyFill="1" applyBorder="1" applyAlignment="1">
      <alignment vertical="center"/>
    </xf>
    <xf numFmtId="1" fontId="6" fillId="0" borderId="18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67" fontId="6" fillId="0" borderId="0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9" fillId="4" borderId="15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" fontId="9" fillId="4" borderId="15" xfId="0" applyNumberFormat="1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5" fontId="1" fillId="0" borderId="4" xfId="0" quotePrefix="1" applyNumberFormat="1" applyFont="1" applyBorder="1" applyAlignment="1">
      <alignment horizontal="center" vertical="center"/>
    </xf>
    <xf numFmtId="165" fontId="1" fillId="0" borderId="17" xfId="0" quotePrefix="1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1" fontId="6" fillId="0" borderId="0" xfId="0" applyNumberFormat="1" applyFont="1" applyBorder="1" applyAlignment="1">
      <alignment vertical="center"/>
    </xf>
    <xf numFmtId="169" fontId="1" fillId="0" borderId="0" xfId="0" applyNumberFormat="1" applyFont="1" applyBorder="1" applyAlignment="1">
      <alignment horizontal="center" vertical="center"/>
    </xf>
    <xf numFmtId="169" fontId="6" fillId="0" borderId="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1" fontId="13" fillId="5" borderId="15" xfId="0" applyNumberFormat="1" applyFont="1" applyFill="1" applyBorder="1" applyAlignment="1">
      <alignment horizontal="center"/>
    </xf>
    <xf numFmtId="168" fontId="13" fillId="5" borderId="15" xfId="0" applyNumberFormat="1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 vertical="center"/>
    </xf>
    <xf numFmtId="0" fontId="3" fillId="0" borderId="0" xfId="0" applyFont="1" applyAlignment="1"/>
    <xf numFmtId="11" fontId="6" fillId="0" borderId="0" xfId="0" applyNumberFormat="1" applyFont="1" applyAlignment="1">
      <alignment vertical="center"/>
    </xf>
    <xf numFmtId="172" fontId="6" fillId="3" borderId="15" xfId="0" applyNumberFormat="1" applyFont="1" applyFill="1" applyBorder="1" applyAlignment="1">
      <alignment horizontal="center" vertical="center"/>
    </xf>
    <xf numFmtId="169" fontId="6" fillId="0" borderId="6" xfId="0" applyNumberFormat="1" applyFont="1" applyBorder="1" applyAlignment="1">
      <alignment vertical="center"/>
    </xf>
    <xf numFmtId="169" fontId="7" fillId="0" borderId="0" xfId="0" applyNumberFormat="1" applyFont="1" applyBorder="1" applyAlignment="1">
      <alignment horizontal="center" vertical="center"/>
    </xf>
    <xf numFmtId="169" fontId="6" fillId="0" borderId="8" xfId="0" applyNumberFormat="1" applyFont="1" applyBorder="1" applyAlignment="1">
      <alignment horizontal="center" vertical="center"/>
    </xf>
    <xf numFmtId="169" fontId="6" fillId="0" borderId="14" xfId="0" applyNumberFormat="1" applyFont="1" applyBorder="1" applyAlignment="1">
      <alignment horizontal="center" vertical="center"/>
    </xf>
    <xf numFmtId="169" fontId="6" fillId="0" borderId="6" xfId="0" applyNumberFormat="1" applyFont="1" applyBorder="1" applyAlignment="1">
      <alignment horizontal="center" vertical="center"/>
    </xf>
    <xf numFmtId="169" fontId="6" fillId="0" borderId="0" xfId="0" applyNumberFormat="1" applyFont="1" applyBorder="1" applyAlignment="1">
      <alignment vertical="center"/>
    </xf>
    <xf numFmtId="169" fontId="1" fillId="0" borderId="0" xfId="0" quotePrefix="1" applyNumberFormat="1" applyFont="1" applyBorder="1" applyAlignment="1">
      <alignment horizontal="center" vertical="center"/>
    </xf>
    <xf numFmtId="169" fontId="1" fillId="0" borderId="8" xfId="0" quotePrefix="1" applyNumberFormat="1" applyFont="1" applyBorder="1" applyAlignment="1">
      <alignment horizontal="center" vertical="center"/>
    </xf>
    <xf numFmtId="169" fontId="6" fillId="0" borderId="18" xfId="0" applyNumberFormat="1" applyFont="1" applyBorder="1" applyAlignment="1">
      <alignment vertical="center"/>
    </xf>
    <xf numFmtId="169" fontId="6" fillId="0" borderId="0" xfId="0" applyNumberFormat="1" applyFont="1" applyAlignment="1">
      <alignment vertical="center"/>
    </xf>
    <xf numFmtId="169" fontId="6" fillId="0" borderId="0" xfId="0" applyNumberFormat="1" applyFont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1" fontId="8" fillId="4" borderId="15" xfId="0" applyNumberFormat="1" applyFont="1" applyFill="1" applyBorder="1" applyAlignment="1">
      <alignment horizontal="center" vertical="center"/>
    </xf>
    <xf numFmtId="173" fontId="6" fillId="0" borderId="0" xfId="0" applyNumberFormat="1" applyFont="1" applyAlignment="1">
      <alignment horizontal="center" vertical="center"/>
    </xf>
    <xf numFmtId="171" fontId="6" fillId="3" borderId="15" xfId="0" applyNumberFormat="1" applyFont="1" applyFill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169" fontId="7" fillId="0" borderId="24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2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162560</xdr:colOff>
      <xdr:row>0</xdr:row>
      <xdr:rowOff>101600</xdr:rowOff>
    </xdr:from>
    <xdr:to>
      <xdr:col>26</xdr:col>
      <xdr:colOff>165100</xdr:colOff>
      <xdr:row>28</xdr:row>
      <xdr:rowOff>162560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64320" y="101600"/>
          <a:ext cx="9146540" cy="49276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457200</xdr:colOff>
      <xdr:row>33</xdr:row>
      <xdr:rowOff>81280</xdr:rowOff>
    </xdr:from>
    <xdr:to>
      <xdr:col>34</xdr:col>
      <xdr:colOff>7800</xdr:colOff>
      <xdr:row>83</xdr:row>
      <xdr:rowOff>20320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9280" y="3434080"/>
          <a:ext cx="8999400" cy="50190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S42"/>
  <sheetViews>
    <sheetView zoomScale="75" zoomScaleNormal="75" workbookViewId="0">
      <selection activeCell="M39" sqref="M39"/>
    </sheetView>
  </sheetViews>
  <sheetFormatPr defaultRowHeight="13.8"/>
  <cols>
    <col min="1" max="1" width="3.21875" style="7" customWidth="1"/>
    <col min="2" max="2" width="24.5546875" style="7" bestFit="1" customWidth="1"/>
    <col min="3" max="8" width="9.6640625" style="7" customWidth="1"/>
    <col min="9" max="9" width="19.6640625" style="7" customWidth="1"/>
    <col min="10" max="10" width="19.77734375" style="7" customWidth="1"/>
    <col min="11" max="16384" width="8.88671875" style="7"/>
  </cols>
  <sheetData>
    <row r="2" spans="2:19" ht="14.4" thickBot="1"/>
    <row r="3" spans="2:19" ht="14.4" thickBot="1">
      <c r="B3" s="6" t="s">
        <v>102</v>
      </c>
      <c r="C3" s="5" t="s">
        <v>58</v>
      </c>
      <c r="D3" s="6" t="s">
        <v>59</v>
      </c>
      <c r="E3" s="17" t="s">
        <v>17</v>
      </c>
      <c r="F3" s="6" t="s">
        <v>18</v>
      </c>
      <c r="G3" s="6" t="s">
        <v>87</v>
      </c>
      <c r="H3" s="18" t="s">
        <v>0</v>
      </c>
      <c r="I3" s="16" t="s">
        <v>91</v>
      </c>
      <c r="J3" s="6" t="s">
        <v>92</v>
      </c>
      <c r="K3" s="2"/>
      <c r="L3" s="2"/>
      <c r="M3" s="2"/>
      <c r="N3" s="2"/>
      <c r="O3" s="2"/>
      <c r="P3" s="2"/>
      <c r="Q3" s="2"/>
      <c r="R3" s="2"/>
      <c r="S3" s="2"/>
    </row>
    <row r="4" spans="2:19" s="10" customFormat="1">
      <c r="B4" s="2"/>
      <c r="C4" s="2" t="s">
        <v>56</v>
      </c>
      <c r="D4" s="2" t="s">
        <v>57</v>
      </c>
      <c r="E4" s="3" t="s">
        <v>56</v>
      </c>
      <c r="F4" s="2"/>
      <c r="G4" s="2" t="s">
        <v>40</v>
      </c>
      <c r="H4" s="4" t="s">
        <v>40</v>
      </c>
      <c r="I4" s="8" t="s">
        <v>86</v>
      </c>
      <c r="J4" s="9" t="s">
        <v>86</v>
      </c>
      <c r="K4" s="2"/>
      <c r="L4" s="2"/>
      <c r="M4" s="2"/>
      <c r="N4" s="2"/>
      <c r="O4" s="2"/>
      <c r="P4" s="2"/>
      <c r="Q4" s="2"/>
      <c r="R4" s="2"/>
      <c r="S4" s="2"/>
    </row>
    <row r="5" spans="2:19">
      <c r="B5" s="11"/>
      <c r="C5" s="11"/>
      <c r="D5" s="11"/>
      <c r="E5" s="12"/>
      <c r="F5" s="11"/>
      <c r="G5" s="11"/>
      <c r="H5" s="13"/>
      <c r="J5" s="9"/>
    </row>
    <row r="6" spans="2:19">
      <c r="B6" s="86">
        <v>45</v>
      </c>
      <c r="C6" s="86">
        <v>20</v>
      </c>
      <c r="D6" s="86">
        <v>2E-3</v>
      </c>
      <c r="E6" s="87">
        <v>-1.94</v>
      </c>
      <c r="F6" s="86">
        <v>3.71</v>
      </c>
      <c r="G6" s="86">
        <v>4130</v>
      </c>
      <c r="H6" s="88">
        <f>($G$25-C6+E6) /D6</f>
        <v>64030</v>
      </c>
      <c r="I6" s="89">
        <f t="shared" ref="I6:I23" si="0">1+G6/H6</f>
        <v>1.0645010151491487</v>
      </c>
      <c r="J6" s="89">
        <f>1 +((1+F6)*-E6/D6+G6)/H6</f>
        <v>1.1358535061689834</v>
      </c>
    </row>
    <row r="7" spans="2:19">
      <c r="B7" s="86">
        <v>50</v>
      </c>
      <c r="C7" s="86">
        <v>30</v>
      </c>
      <c r="D7" s="86">
        <v>2E-3</v>
      </c>
      <c r="E7" s="87">
        <v>-3.9</v>
      </c>
      <c r="F7" s="86">
        <v>3.27</v>
      </c>
      <c r="G7" s="86">
        <v>5880</v>
      </c>
      <c r="H7" s="88">
        <f t="shared" ref="H7:H23" si="1">($G$25-C7+E7) /D7</f>
        <v>58049.999999999993</v>
      </c>
      <c r="I7" s="89">
        <f t="shared" si="0"/>
        <v>1.1012919896640827</v>
      </c>
      <c r="J7" s="89">
        <f t="shared" ref="J7:J23" si="2">1 +((1+F7)*-E7/D7+G7)/H7</f>
        <v>1.2447286821705426</v>
      </c>
    </row>
    <row r="8" spans="2:19">
      <c r="B8" s="86">
        <v>5687</v>
      </c>
      <c r="C8" s="86">
        <v>50</v>
      </c>
      <c r="D8" s="86">
        <v>2E-3</v>
      </c>
      <c r="E8" s="87">
        <v>-2.58</v>
      </c>
      <c r="F8" s="86">
        <v>15.4</v>
      </c>
      <c r="G8" s="86">
        <v>4470</v>
      </c>
      <c r="H8" s="88">
        <f t="shared" si="1"/>
        <v>48710</v>
      </c>
      <c r="I8" s="89">
        <f t="shared" si="0"/>
        <v>1.0917676041880517</v>
      </c>
      <c r="J8" s="89">
        <f t="shared" si="2"/>
        <v>1.5260932046807638</v>
      </c>
    </row>
    <row r="9" spans="2:19">
      <c r="B9" s="86">
        <v>5881</v>
      </c>
      <c r="C9" s="86">
        <v>50</v>
      </c>
      <c r="D9" s="86">
        <v>2E-3</v>
      </c>
      <c r="E9" s="87">
        <v>-6.07</v>
      </c>
      <c r="F9" s="86">
        <v>6.38</v>
      </c>
      <c r="G9" s="86">
        <v>3890</v>
      </c>
      <c r="H9" s="88">
        <f t="shared" si="1"/>
        <v>46965</v>
      </c>
      <c r="I9" s="89">
        <f t="shared" si="0"/>
        <v>1.0828276376024699</v>
      </c>
      <c r="J9" s="89">
        <f t="shared" si="2"/>
        <v>1.5597423613329076</v>
      </c>
    </row>
    <row r="10" spans="2:19">
      <c r="B10" s="86">
        <v>7027</v>
      </c>
      <c r="C10" s="86">
        <v>50</v>
      </c>
      <c r="D10" s="86">
        <v>2E-3</v>
      </c>
      <c r="E10" s="87">
        <v>-5.85</v>
      </c>
      <c r="F10" s="86">
        <v>6.61</v>
      </c>
      <c r="G10" s="86">
        <v>3910</v>
      </c>
      <c r="H10" s="88">
        <f t="shared" si="1"/>
        <v>47075</v>
      </c>
      <c r="I10" s="89">
        <f t="shared" si="0"/>
        <v>1.0830589484864577</v>
      </c>
      <c r="J10" s="89">
        <f t="shared" si="2"/>
        <v>1.5559054699946893</v>
      </c>
    </row>
    <row r="11" spans="2:19">
      <c r="B11" s="86">
        <v>7119</v>
      </c>
      <c r="C11" s="86">
        <v>50</v>
      </c>
      <c r="D11" s="86">
        <v>2E-3</v>
      </c>
      <c r="E11" s="87">
        <v>-2.04</v>
      </c>
      <c r="F11" s="86">
        <v>20</v>
      </c>
      <c r="G11" s="86">
        <v>4040</v>
      </c>
      <c r="H11" s="88">
        <f t="shared" si="1"/>
        <v>48979.999999999993</v>
      </c>
      <c r="I11" s="89">
        <f t="shared" si="0"/>
        <v>1.0824826459779502</v>
      </c>
      <c r="J11" s="89">
        <f t="shared" si="2"/>
        <v>1.5198040016333199</v>
      </c>
    </row>
    <row r="12" spans="2:19">
      <c r="B12" s="86">
        <v>8417</v>
      </c>
      <c r="C12" s="86">
        <v>50</v>
      </c>
      <c r="D12" s="86">
        <v>2E-3</v>
      </c>
      <c r="E12" s="87">
        <v>-2.79</v>
      </c>
      <c r="F12" s="86">
        <v>15.2</v>
      </c>
      <c r="G12" s="86">
        <v>2600</v>
      </c>
      <c r="H12" s="88">
        <f t="shared" si="1"/>
        <v>48604.999999999993</v>
      </c>
      <c r="I12" s="89">
        <f t="shared" si="0"/>
        <v>1.0534924390494804</v>
      </c>
      <c r="J12" s="89">
        <f t="shared" si="2"/>
        <v>1.5184446044645612</v>
      </c>
    </row>
    <row r="13" spans="2:19">
      <c r="B13" s="86" t="s">
        <v>24</v>
      </c>
      <c r="C13" s="86">
        <v>50</v>
      </c>
      <c r="D13" s="86">
        <v>2E-3</v>
      </c>
      <c r="E13" s="87">
        <v>-1.44</v>
      </c>
      <c r="F13" s="86">
        <v>16.600000000000001</v>
      </c>
      <c r="G13" s="86">
        <v>10300</v>
      </c>
      <c r="H13" s="88">
        <f t="shared" si="1"/>
        <v>49280</v>
      </c>
      <c r="I13" s="89">
        <f t="shared" si="0"/>
        <v>1.2090097402597402</v>
      </c>
      <c r="J13" s="89">
        <f t="shared" si="2"/>
        <v>1.4661525974025973</v>
      </c>
    </row>
    <row r="14" spans="2:19">
      <c r="B14" s="86" t="s">
        <v>19</v>
      </c>
      <c r="C14" s="86">
        <v>50</v>
      </c>
      <c r="D14" s="86">
        <v>2E-3</v>
      </c>
      <c r="E14" s="87">
        <v>-7.43</v>
      </c>
      <c r="F14" s="86">
        <v>5.69</v>
      </c>
      <c r="G14" s="86">
        <v>2860</v>
      </c>
      <c r="H14" s="88">
        <f t="shared" si="1"/>
        <v>46284.999999999993</v>
      </c>
      <c r="I14" s="89">
        <f t="shared" si="0"/>
        <v>1.0617910770227936</v>
      </c>
      <c r="J14" s="89">
        <f t="shared" si="2"/>
        <v>1.5987544560872853</v>
      </c>
    </row>
    <row r="15" spans="2:19">
      <c r="B15" s="86" t="s">
        <v>23</v>
      </c>
      <c r="C15" s="86">
        <v>50</v>
      </c>
      <c r="D15" s="86">
        <v>2E-3</v>
      </c>
      <c r="E15" s="87">
        <v>-2.25</v>
      </c>
      <c r="F15" s="86">
        <v>14.9</v>
      </c>
      <c r="G15" s="86">
        <v>7130</v>
      </c>
      <c r="H15" s="88">
        <f t="shared" si="1"/>
        <v>48875</v>
      </c>
      <c r="I15" s="89">
        <f t="shared" si="0"/>
        <v>1.1458823529411766</v>
      </c>
      <c r="J15" s="89">
        <f t="shared" si="2"/>
        <v>1.5118670076726342</v>
      </c>
    </row>
    <row r="16" spans="2:19">
      <c r="B16" s="86" t="s">
        <v>22</v>
      </c>
      <c r="C16" s="86">
        <v>50</v>
      </c>
      <c r="D16" s="86">
        <v>2E-3</v>
      </c>
      <c r="E16" s="87">
        <v>-2.57</v>
      </c>
      <c r="F16" s="86">
        <v>13.7</v>
      </c>
      <c r="G16" s="86">
        <v>5680</v>
      </c>
      <c r="H16" s="88">
        <f t="shared" si="1"/>
        <v>48715</v>
      </c>
      <c r="I16" s="89">
        <f t="shared" si="0"/>
        <v>1.1165965308426562</v>
      </c>
      <c r="J16" s="89">
        <f t="shared" si="2"/>
        <v>1.5043518423483526</v>
      </c>
    </row>
    <row r="17" spans="2:10">
      <c r="B17" s="86" t="s">
        <v>20</v>
      </c>
      <c r="C17" s="86">
        <v>50</v>
      </c>
      <c r="D17" s="86">
        <v>5.1999999999999998E-3</v>
      </c>
      <c r="E17" s="87">
        <v>-4.05</v>
      </c>
      <c r="F17" s="86">
        <v>8.6</v>
      </c>
      <c r="G17" s="86">
        <v>2300</v>
      </c>
      <c r="H17" s="88">
        <f t="shared" si="1"/>
        <v>18451.923076923078</v>
      </c>
      <c r="I17" s="89">
        <f t="shared" si="0"/>
        <v>1.1246482542991141</v>
      </c>
      <c r="J17" s="89">
        <f t="shared" si="2"/>
        <v>1.5298593017196456</v>
      </c>
    </row>
    <row r="18" spans="2:10">
      <c r="B18" s="86" t="s">
        <v>29</v>
      </c>
      <c r="C18" s="86">
        <v>50</v>
      </c>
      <c r="D18" s="86">
        <v>2E-3</v>
      </c>
      <c r="E18" s="87">
        <v>-5.86</v>
      </c>
      <c r="F18" s="86">
        <v>7.32</v>
      </c>
      <c r="G18" s="86">
        <v>2490</v>
      </c>
      <c r="H18" s="88">
        <f t="shared" si="1"/>
        <v>47070</v>
      </c>
      <c r="I18" s="89">
        <f t="shared" si="0"/>
        <v>1.052899936265137</v>
      </c>
      <c r="J18" s="89">
        <f t="shared" si="2"/>
        <v>1.5708009347779903</v>
      </c>
    </row>
    <row r="19" spans="2:10">
      <c r="B19" s="86" t="s">
        <v>26</v>
      </c>
      <c r="C19" s="86">
        <v>100</v>
      </c>
      <c r="D19" s="86">
        <v>2E-3</v>
      </c>
      <c r="E19" s="87">
        <v>-3.56</v>
      </c>
      <c r="F19" s="86">
        <v>20</v>
      </c>
      <c r="G19" s="86">
        <v>12100</v>
      </c>
      <c r="H19" s="88">
        <f t="shared" si="1"/>
        <v>23220</v>
      </c>
      <c r="I19" s="89">
        <f t="shared" si="0"/>
        <v>1.5211024978466838</v>
      </c>
      <c r="J19" s="89">
        <f t="shared" si="2"/>
        <v>3.1309216192937122</v>
      </c>
    </row>
    <row r="20" spans="2:10">
      <c r="B20" s="86" t="s">
        <v>27</v>
      </c>
      <c r="C20" s="86">
        <v>50</v>
      </c>
      <c r="D20" s="86">
        <v>2E-3</v>
      </c>
      <c r="E20" s="87">
        <v>-1.33</v>
      </c>
      <c r="F20" s="86">
        <v>29.1</v>
      </c>
      <c r="G20" s="86">
        <v>5030</v>
      </c>
      <c r="H20" s="88">
        <f t="shared" si="1"/>
        <v>49335</v>
      </c>
      <c r="I20" s="89">
        <f t="shared" si="0"/>
        <v>1.1019560149994934</v>
      </c>
      <c r="J20" s="89">
        <f t="shared" si="2"/>
        <v>1.5076821728995642</v>
      </c>
    </row>
    <row r="21" spans="2:10">
      <c r="B21" s="86" t="s">
        <v>21</v>
      </c>
      <c r="C21" s="86">
        <v>50</v>
      </c>
      <c r="D21" s="86">
        <v>2E-3</v>
      </c>
      <c r="E21" s="87">
        <v>-3.37</v>
      </c>
      <c r="F21" s="86">
        <v>13.4</v>
      </c>
      <c r="G21" s="86">
        <v>2950</v>
      </c>
      <c r="H21" s="88">
        <f t="shared" si="1"/>
        <v>48315</v>
      </c>
      <c r="I21" s="89">
        <f t="shared" si="0"/>
        <v>1.0610576425540723</v>
      </c>
      <c r="J21" s="89">
        <f t="shared" si="2"/>
        <v>1.5632619269378041</v>
      </c>
    </row>
    <row r="22" spans="2:10">
      <c r="B22" s="86" t="s">
        <v>28</v>
      </c>
      <c r="C22" s="86">
        <v>100</v>
      </c>
      <c r="D22" s="86">
        <v>2E-3</v>
      </c>
      <c r="E22" s="87">
        <v>-1.39</v>
      </c>
      <c r="F22" s="86">
        <v>35.200000000000003</v>
      </c>
      <c r="G22" s="86">
        <v>14400</v>
      </c>
      <c r="H22" s="88">
        <f t="shared" si="1"/>
        <v>24305</v>
      </c>
      <c r="I22" s="89">
        <f t="shared" si="0"/>
        <v>1.5924706850442296</v>
      </c>
      <c r="J22" s="89">
        <f t="shared" si="2"/>
        <v>2.627607488171158</v>
      </c>
    </row>
    <row r="23" spans="2:10">
      <c r="B23" s="86" t="s">
        <v>25</v>
      </c>
      <c r="C23" s="86">
        <v>50</v>
      </c>
      <c r="D23" s="86">
        <v>2E-3</v>
      </c>
      <c r="E23" s="87">
        <v>-2.21</v>
      </c>
      <c r="F23" s="86">
        <v>16.8</v>
      </c>
      <c r="G23" s="86">
        <v>4780</v>
      </c>
      <c r="H23" s="88">
        <f t="shared" si="1"/>
        <v>48895</v>
      </c>
      <c r="I23" s="89">
        <f t="shared" si="0"/>
        <v>1.0977605072093262</v>
      </c>
      <c r="J23" s="89">
        <f t="shared" si="2"/>
        <v>1.500030677983434</v>
      </c>
    </row>
    <row r="24" spans="2:10">
      <c r="B24" s="11"/>
      <c r="C24" s="11"/>
      <c r="D24" s="11"/>
      <c r="E24" s="12"/>
      <c r="F24" s="11"/>
      <c r="G24" s="11"/>
      <c r="H24" s="11"/>
      <c r="I24" s="11"/>
    </row>
    <row r="25" spans="2:10">
      <c r="B25" s="14"/>
      <c r="C25" s="112" t="s">
        <v>98</v>
      </c>
      <c r="D25" s="112"/>
      <c r="E25" s="112"/>
      <c r="F25" s="113"/>
      <c r="G25" s="90">
        <v>150</v>
      </c>
      <c r="H25" s="1"/>
      <c r="I25" s="7" t="s">
        <v>104</v>
      </c>
    </row>
    <row r="26" spans="2:10">
      <c r="B26" s="11"/>
      <c r="C26" s="14"/>
      <c r="E26" s="12"/>
      <c r="F26" s="11"/>
      <c r="G26" s="11"/>
      <c r="H26" s="11"/>
      <c r="I26" s="11"/>
    </row>
    <row r="27" spans="2:10" ht="14.4" customHeight="1">
      <c r="C27" s="91"/>
      <c r="D27" s="114" t="s">
        <v>103</v>
      </c>
      <c r="E27" s="114"/>
      <c r="F27" s="114"/>
      <c r="G27" s="114"/>
      <c r="H27" s="114"/>
      <c r="I27" s="114"/>
      <c r="J27" s="114"/>
    </row>
    <row r="28" spans="2:10">
      <c r="B28" s="11"/>
      <c r="C28" s="11"/>
      <c r="D28" s="114" t="s">
        <v>99</v>
      </c>
      <c r="E28" s="114"/>
      <c r="F28" s="114"/>
      <c r="G28" s="114"/>
      <c r="H28" s="114"/>
      <c r="I28" s="114"/>
      <c r="J28" s="114"/>
    </row>
    <row r="29" spans="2:10">
      <c r="B29" s="15"/>
    </row>
    <row r="30" spans="2:10">
      <c r="B30" s="15"/>
    </row>
    <row r="31" spans="2:10">
      <c r="B31" s="15"/>
    </row>
    <row r="32" spans="2:10">
      <c r="B32" s="15"/>
    </row>
    <row r="33" spans="2:9">
      <c r="B33" s="15"/>
    </row>
    <row r="34" spans="2:9">
      <c r="B34" s="11"/>
      <c r="C34" s="11"/>
      <c r="D34" s="11"/>
      <c r="E34" s="12"/>
      <c r="F34" s="11"/>
      <c r="G34" s="11"/>
      <c r="H34" s="11"/>
      <c r="I34" s="11"/>
    </row>
    <row r="35" spans="2:9">
      <c r="B35" s="11"/>
      <c r="C35" s="11"/>
      <c r="D35" s="11"/>
      <c r="E35" s="12"/>
      <c r="F35" s="11"/>
      <c r="G35" s="11"/>
      <c r="H35" s="11"/>
      <c r="I35" s="11"/>
    </row>
    <row r="36" spans="2:9">
      <c r="B36" s="11"/>
      <c r="C36" s="11"/>
      <c r="D36" s="11"/>
      <c r="E36" s="12"/>
      <c r="F36" s="11"/>
      <c r="G36" s="11"/>
      <c r="H36" s="11"/>
      <c r="I36" s="11"/>
    </row>
    <row r="37" spans="2:9">
      <c r="B37" s="11"/>
    </row>
    <row r="38" spans="2:9">
      <c r="B38" s="11"/>
    </row>
    <row r="39" spans="2:9">
      <c r="B39" s="11"/>
    </row>
    <row r="40" spans="2:9">
      <c r="B40" s="11"/>
    </row>
    <row r="41" spans="2:9">
      <c r="C41" s="11"/>
      <c r="D41" s="11"/>
      <c r="E41" s="12"/>
      <c r="F41" s="11"/>
      <c r="G41" s="11"/>
      <c r="H41" s="11"/>
      <c r="I41" s="11"/>
    </row>
    <row r="42" spans="2:9">
      <c r="C42" s="11"/>
      <c r="D42" s="11"/>
      <c r="E42" s="12"/>
      <c r="F42" s="11"/>
      <c r="G42" s="11"/>
      <c r="H42" s="11"/>
      <c r="I42" s="11"/>
    </row>
  </sheetData>
  <mergeCells count="3">
    <mergeCell ref="C25:F25"/>
    <mergeCell ref="D28:J28"/>
    <mergeCell ref="D27:J27"/>
  </mergeCells>
  <phoneticPr fontId="1" type="noConversion"/>
  <pageMargins left="0.7" right="0.7" top="0.75" bottom="0.75" header="0.3" footer="0.3"/>
  <pageSetup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T123"/>
  <sheetViews>
    <sheetView tabSelected="1" zoomScale="75" zoomScaleNormal="75" workbookViewId="0">
      <selection activeCell="H73" sqref="H73"/>
    </sheetView>
  </sheetViews>
  <sheetFormatPr defaultRowHeight="7.8" customHeight="1"/>
  <cols>
    <col min="1" max="1" width="4.33203125" style="20" customWidth="1"/>
    <col min="2" max="2" width="6" style="19" bestFit="1" customWidth="1"/>
    <col min="3" max="3" width="9.44140625" style="19" bestFit="1" customWidth="1"/>
    <col min="4" max="4" width="19.88671875" style="20" hidden="1" customWidth="1"/>
    <col min="5" max="5" width="12.88671875" style="20" hidden="1" customWidth="1"/>
    <col min="6" max="6" width="17" style="20" bestFit="1" customWidth="1"/>
    <col min="7" max="7" width="11.33203125" style="104" bestFit="1" customWidth="1"/>
    <col min="8" max="8" width="9.5546875" style="19" bestFit="1" customWidth="1"/>
    <col min="9" max="9" width="2.109375" style="20" customWidth="1"/>
    <col min="10" max="10" width="6" style="19" bestFit="1" customWidth="1"/>
    <col min="11" max="11" width="9.5546875" style="19" bestFit="1" customWidth="1"/>
    <col min="12" max="12" width="19.88671875" style="20" hidden="1" customWidth="1"/>
    <col min="13" max="13" width="12.88671875" style="20" hidden="1" customWidth="1"/>
    <col min="14" max="14" width="18.109375" style="20" bestFit="1" customWidth="1"/>
    <col min="15" max="15" width="12.109375" style="103" bestFit="1" customWidth="1"/>
    <col min="16" max="16" width="7.109375" style="19" bestFit="1" customWidth="1"/>
    <col min="17" max="17" width="7.88671875" style="20" customWidth="1"/>
    <col min="18" max="18" width="8.5546875" style="20" customWidth="1"/>
    <col min="19" max="19" width="6" style="19" bestFit="1" customWidth="1"/>
    <col min="20" max="20" width="11" style="19" customWidth="1"/>
    <col min="21" max="21" width="19.88671875" style="20" hidden="1" customWidth="1"/>
    <col min="22" max="22" width="12.88671875" style="20" hidden="1" customWidth="1"/>
    <col min="23" max="23" width="17" style="20" bestFit="1" customWidth="1"/>
    <col min="24" max="24" width="7.44140625" style="103" bestFit="1" customWidth="1"/>
    <col min="25" max="25" width="12.77734375" style="19" customWidth="1"/>
    <col min="26" max="26" width="1.5546875" style="20" customWidth="1"/>
    <col min="27" max="27" width="6" style="19" bestFit="1" customWidth="1"/>
    <col min="28" max="28" width="11" style="19" customWidth="1"/>
    <col min="29" max="29" width="19.88671875" style="20" hidden="1" customWidth="1"/>
    <col min="30" max="30" width="12.88671875" style="20" hidden="1" customWidth="1"/>
    <col min="31" max="31" width="17" style="20" customWidth="1"/>
    <col min="32" max="32" width="11.21875" style="103" bestFit="1" customWidth="1"/>
    <col min="33" max="33" width="7.77734375" style="19" bestFit="1" customWidth="1"/>
    <col min="34" max="34" width="12.33203125" style="20" customWidth="1"/>
    <col min="35" max="35" width="8.5546875" style="20" customWidth="1"/>
    <col min="36" max="36" width="11.44140625" style="20" bestFit="1" customWidth="1"/>
    <col min="37" max="37" width="30" style="20" hidden="1" customWidth="1"/>
    <col min="38" max="38" width="0" style="20" hidden="1" customWidth="1"/>
    <col min="39" max="39" width="27.5546875" style="20" bestFit="1" customWidth="1"/>
    <col min="40" max="41" width="12" style="20" bestFit="1" customWidth="1"/>
    <col min="42" max="42" width="1.77734375" style="20" customWidth="1"/>
    <col min="43" max="43" width="9.33203125" style="20" bestFit="1" customWidth="1"/>
    <col min="44" max="44" width="16.109375" style="20" bestFit="1" customWidth="1"/>
    <col min="45" max="45" width="8.88671875" style="20" hidden="1" customWidth="1"/>
    <col min="46" max="46" width="16.6640625" style="20" hidden="1" customWidth="1"/>
    <col min="47" max="47" width="27.5546875" style="20" bestFit="1" customWidth="1"/>
    <col min="48" max="48" width="12" style="20" bestFit="1" customWidth="1"/>
    <col min="49" max="49" width="13.109375" style="20" bestFit="1" customWidth="1"/>
    <col min="50" max="16384" width="8.88671875" style="20"/>
  </cols>
  <sheetData>
    <row r="2" spans="2:33" ht="7.8" customHeight="1" thickBot="1">
      <c r="F2" s="21"/>
      <c r="G2" s="98"/>
      <c r="H2" s="22"/>
      <c r="N2" s="21"/>
      <c r="O2" s="94"/>
      <c r="P2" s="22"/>
      <c r="AG2" s="20"/>
    </row>
    <row r="3" spans="2:33" ht="7.8" customHeight="1">
      <c r="B3" s="23"/>
      <c r="C3" s="24"/>
      <c r="D3" s="25" t="s">
        <v>6</v>
      </c>
      <c r="E3" s="26">
        <f>((1-E7)*E17*C8/((1-E7)*E17+C8))+E7*E17</f>
        <v>10777.064752388371</v>
      </c>
      <c r="F3" s="132"/>
      <c r="G3" s="132"/>
      <c r="H3" s="133"/>
      <c r="J3" s="23"/>
      <c r="K3" s="24"/>
      <c r="L3" s="25" t="s">
        <v>6</v>
      </c>
      <c r="M3" s="26">
        <f>((1-M7)*M17*K8/((1-M7)*M17+K8))+M7*M17</f>
        <v>30369.561311266454</v>
      </c>
      <c r="N3" s="132"/>
      <c r="O3" s="132"/>
      <c r="P3" s="133"/>
      <c r="S3" s="23"/>
      <c r="T3" s="24"/>
      <c r="U3" s="25" t="s">
        <v>6</v>
      </c>
      <c r="V3" s="26">
        <f>((1-V7)*V17*T8/((1-V7)*V17+T8))+V7*V17</f>
        <v>47680.490763197646</v>
      </c>
      <c r="W3" s="132"/>
      <c r="X3" s="132"/>
      <c r="Y3" s="133"/>
      <c r="AA3" s="23"/>
      <c r="AB3" s="24"/>
      <c r="AC3" s="25" t="s">
        <v>6</v>
      </c>
      <c r="AD3" s="26">
        <f>((1-AD7)*AD17*AB8/((1-AD7)*AD17+AB8))+AD7*AD17</f>
        <v>45284.715965373929</v>
      </c>
      <c r="AE3" s="27"/>
      <c r="AF3" s="110"/>
      <c r="AG3" s="28"/>
    </row>
    <row r="4" spans="2:33" ht="7.8" customHeight="1">
      <c r="B4" s="29"/>
      <c r="C4" s="30"/>
      <c r="D4" s="31" t="s">
        <v>8</v>
      </c>
      <c r="E4" s="32">
        <f>1/C20+1/E18+1/E16</f>
        <v>7.5559132217820351E-5</v>
      </c>
      <c r="F4" s="130" t="s">
        <v>71</v>
      </c>
      <c r="G4" s="120"/>
      <c r="H4" s="131"/>
      <c r="J4" s="29"/>
      <c r="K4" s="30"/>
      <c r="L4" s="31" t="s">
        <v>8</v>
      </c>
      <c r="M4" s="32">
        <f>1/K20+1/M18+1/M16</f>
        <v>7.5559132217820351E-5</v>
      </c>
      <c r="N4" s="130" t="s">
        <v>71</v>
      </c>
      <c r="O4" s="120"/>
      <c r="P4" s="131"/>
      <c r="S4" s="29"/>
      <c r="T4" s="30"/>
      <c r="U4" s="31" t="s">
        <v>8</v>
      </c>
      <c r="V4" s="32">
        <f>1/T20+1/V18+1/V16</f>
        <v>1.9952854238953048E-4</v>
      </c>
      <c r="W4" s="130" t="s">
        <v>71</v>
      </c>
      <c r="X4" s="120"/>
      <c r="Y4" s="131"/>
      <c r="AA4" s="29"/>
      <c r="AB4" s="30"/>
      <c r="AC4" s="31" t="s">
        <v>8</v>
      </c>
      <c r="AD4" s="32">
        <f>1/AB20+1/AD18+1/AD16</f>
        <v>1.3022205639002523E-4</v>
      </c>
      <c r="AE4" s="121" t="s">
        <v>71</v>
      </c>
      <c r="AF4" s="122"/>
      <c r="AG4" s="123"/>
    </row>
    <row r="5" spans="2:33" ht="7.8" customHeight="1">
      <c r="B5" s="29" t="s">
        <v>39</v>
      </c>
      <c r="C5" s="33">
        <v>3.5000000000000003E-2</v>
      </c>
      <c r="D5" s="31" t="s">
        <v>15</v>
      </c>
      <c r="E5" s="32">
        <f>(C5+1/E3)/(1+E12/E3)</f>
        <v>9.0527486451036903E-3</v>
      </c>
      <c r="F5" s="34" t="s">
        <v>69</v>
      </c>
      <c r="G5" s="35">
        <f>E5/(E5+E4)</f>
        <v>0.99172254769875956</v>
      </c>
      <c r="H5" s="35">
        <f>C28/(C28+C24)</f>
        <v>0.99168698542902312</v>
      </c>
      <c r="J5" s="29" t="s">
        <v>39</v>
      </c>
      <c r="K5" s="33">
        <v>3.5000000000000003E-2</v>
      </c>
      <c r="L5" s="31" t="s">
        <v>15</v>
      </c>
      <c r="M5" s="32">
        <f>(K5+1/M3)/(1+M12/M3)</f>
        <v>2.6506678676881855E-2</v>
      </c>
      <c r="N5" s="34" t="s">
        <v>69</v>
      </c>
      <c r="O5" s="105">
        <f>M5/(M5+M4)</f>
        <v>0.99715753305795973</v>
      </c>
      <c r="P5" s="35">
        <f>K28/(K28+K24)</f>
        <v>0.99715665121619002</v>
      </c>
      <c r="S5" s="29" t="s">
        <v>39</v>
      </c>
      <c r="T5" s="33">
        <v>5.7850000000000002E-3</v>
      </c>
      <c r="U5" s="31" t="s">
        <v>15</v>
      </c>
      <c r="V5" s="32">
        <f>(T5+1/V3)/(1+V12/V3)</f>
        <v>5.2369740912580733E-3</v>
      </c>
      <c r="W5" s="36" t="s">
        <v>69</v>
      </c>
      <c r="X5" s="35">
        <f>V5/(V5+V4)</f>
        <v>0.96329836370268473</v>
      </c>
      <c r="Y5" s="35">
        <f>T28/(T28+T24)</f>
        <v>0.96329405783089994</v>
      </c>
      <c r="AA5" s="29" t="s">
        <v>39</v>
      </c>
      <c r="AB5" s="33">
        <v>5.1999999999999998E-3</v>
      </c>
      <c r="AC5" s="31" t="s">
        <v>15</v>
      </c>
      <c r="AD5" s="32">
        <f>(AB5+1/AD3)/(1+AD12/AD3)</f>
        <v>4.6860103240656398E-3</v>
      </c>
      <c r="AE5" s="34" t="s">
        <v>69</v>
      </c>
      <c r="AF5" s="35">
        <f>AD5/(AD5+AD4)</f>
        <v>0.97296184110250405</v>
      </c>
      <c r="AG5" s="35">
        <f>AB28/(AB28+AB24)</f>
        <v>0.97295654661646358</v>
      </c>
    </row>
    <row r="6" spans="2:33" ht="7.8" customHeight="1">
      <c r="B6" s="29" t="s">
        <v>37</v>
      </c>
      <c r="C6" s="37">
        <v>120000</v>
      </c>
      <c r="D6" s="31" t="s">
        <v>7</v>
      </c>
      <c r="E6" s="32">
        <f>E8*(1-E8)*E16+C8</f>
        <v>100233.33834812697</v>
      </c>
      <c r="F6" s="38" t="s">
        <v>12</v>
      </c>
      <c r="G6" s="105">
        <f>-C18*G5</f>
        <v>-8.9255029292888359</v>
      </c>
      <c r="H6" s="105">
        <f>-C18*H5</f>
        <v>-8.9251828688612083</v>
      </c>
      <c r="J6" s="29" t="s">
        <v>37</v>
      </c>
      <c r="K6" s="37">
        <v>120000</v>
      </c>
      <c r="L6" s="31" t="s">
        <v>7</v>
      </c>
      <c r="M6" s="32">
        <f>M8*(1-M8)*M16+K8</f>
        <v>470233.33834812697</v>
      </c>
      <c r="N6" s="38" t="s">
        <v>12</v>
      </c>
      <c r="O6" s="105">
        <f>-K18*O5</f>
        <v>-8.5755547842984541</v>
      </c>
      <c r="P6" s="105">
        <f>-K18*P5</f>
        <v>-8.5755472004592335</v>
      </c>
      <c r="S6" s="29" t="s">
        <v>37</v>
      </c>
      <c r="T6" s="33">
        <v>5030</v>
      </c>
      <c r="U6" s="31" t="s">
        <v>7</v>
      </c>
      <c r="V6" s="32">
        <f>V8*(1-V8)*V16+T8</f>
        <v>5001000000</v>
      </c>
      <c r="W6" s="39" t="s">
        <v>12</v>
      </c>
      <c r="X6" s="42">
        <f>-T18*X5</f>
        <v>-28.031982383748126</v>
      </c>
      <c r="Y6" s="42">
        <f>-T18*Y5</f>
        <v>-28.031857082879188</v>
      </c>
      <c r="AA6" s="29" t="s">
        <v>37</v>
      </c>
      <c r="AB6" s="46">
        <v>1000000</v>
      </c>
      <c r="AC6" s="31" t="s">
        <v>7</v>
      </c>
      <c r="AD6" s="32">
        <f>AD8*(1-AD8)*AD16+AB8</f>
        <v>470067.60465116281</v>
      </c>
      <c r="AE6" s="38" t="s">
        <v>12</v>
      </c>
      <c r="AF6" s="42">
        <f>-AB18*AF5</f>
        <v>-28.31318957608287</v>
      </c>
      <c r="AG6" s="42">
        <f>-AB18*AG5</f>
        <v>-28.313035506539091</v>
      </c>
    </row>
    <row r="7" spans="2:33" ht="7.8" customHeight="1">
      <c r="B7" s="29" t="s">
        <v>3</v>
      </c>
      <c r="C7" s="37">
        <v>27000</v>
      </c>
      <c r="D7" s="31" t="s">
        <v>2</v>
      </c>
      <c r="E7" s="40">
        <f>C16/(C16+C15)</f>
        <v>2.6083333333333333E-2</v>
      </c>
      <c r="F7" s="41" t="s">
        <v>13</v>
      </c>
      <c r="G7" s="106">
        <f>E18*(E5+E4)</f>
        <v>201.19535509198434</v>
      </c>
      <c r="H7" s="106">
        <f>1/((C28/C26)*C24/(C24+C28))</f>
        <v>200.33466088455495</v>
      </c>
      <c r="J7" s="29" t="s">
        <v>3</v>
      </c>
      <c r="K7" s="37">
        <v>27000</v>
      </c>
      <c r="L7" s="31" t="s">
        <v>2</v>
      </c>
      <c r="M7" s="40">
        <f>K16/(K16+K15)</f>
        <v>9.6536409339049445E-3</v>
      </c>
      <c r="N7" s="41" t="s">
        <v>13</v>
      </c>
      <c r="O7" s="106">
        <f>M18*(M5+M4)</f>
        <v>585.89422109852353</v>
      </c>
      <c r="P7" s="106">
        <f>1/((K28/K26)*K24/(K24+K28))</f>
        <v>585.71251071543873</v>
      </c>
      <c r="S7" s="29" t="s">
        <v>3</v>
      </c>
      <c r="T7" s="93">
        <v>10000000000</v>
      </c>
      <c r="U7" s="31" t="s">
        <v>2</v>
      </c>
      <c r="V7" s="40">
        <f>T16/(T16+T15)</f>
        <v>1.3299999999999999E-2</v>
      </c>
      <c r="W7" s="43" t="s">
        <v>13</v>
      </c>
      <c r="X7" s="42">
        <f>V18*(V5+V4)</f>
        <v>27.345594492413419</v>
      </c>
      <c r="Y7" s="42">
        <f>1/((T28/T26)*T24/(T24+T28))</f>
        <v>27.342386656929317</v>
      </c>
      <c r="AA7" s="29" t="s">
        <v>3</v>
      </c>
      <c r="AB7" s="37">
        <v>23255</v>
      </c>
      <c r="AC7" s="31" t="s">
        <v>2</v>
      </c>
      <c r="AD7" s="40">
        <f>AB16/(AB16+AB15)</f>
        <v>1.014E-2</v>
      </c>
      <c r="AE7" s="41" t="s">
        <v>13</v>
      </c>
      <c r="AF7" s="106">
        <f>AD18*(AD5+AD4)</f>
        <v>109.45608280193744</v>
      </c>
      <c r="AG7" s="106">
        <f>1/((AB28/AB26)*AB24/(AB24+AB28))</f>
        <v>109.43465381895145</v>
      </c>
    </row>
    <row r="8" spans="2:33" ht="7.8" customHeight="1">
      <c r="B8" s="29" t="s">
        <v>5</v>
      </c>
      <c r="C8" s="37">
        <v>100000</v>
      </c>
      <c r="D8" s="31" t="s">
        <v>1</v>
      </c>
      <c r="E8" s="40">
        <f>C10/(C10+C9)</f>
        <v>7.0708590341507444E-3</v>
      </c>
      <c r="F8" s="41" t="s">
        <v>14</v>
      </c>
      <c r="G8" s="106">
        <f>1/(E5+E4-1/C20)</f>
        <v>109.55053000485378</v>
      </c>
      <c r="H8" s="106">
        <f>1/(1/C24+1/C28-1/C20)</f>
        <v>110.02119515867233</v>
      </c>
      <c r="J8" s="29" t="s">
        <v>5</v>
      </c>
      <c r="K8" s="37">
        <v>470000</v>
      </c>
      <c r="L8" s="31" t="s">
        <v>1</v>
      </c>
      <c r="M8" s="40">
        <f>K10/(K10+K9)</f>
        <v>7.0708590341507444E-3</v>
      </c>
      <c r="N8" s="41" t="s">
        <v>14</v>
      </c>
      <c r="O8" s="42">
        <f>1/(M5+M4-1/K20)</f>
        <v>37.61924669797164</v>
      </c>
      <c r="P8" s="42">
        <f>1/(1/K24+1/K28-1/K20)</f>
        <v>37.630917668503365</v>
      </c>
      <c r="S8" s="29" t="s">
        <v>5</v>
      </c>
      <c r="T8" s="93">
        <v>1000000</v>
      </c>
      <c r="U8" s="31" t="s">
        <v>1</v>
      </c>
      <c r="V8" s="40">
        <f>T10/(T10+T9)</f>
        <v>0.5</v>
      </c>
      <c r="W8" s="43" t="s">
        <v>14</v>
      </c>
      <c r="X8" s="106">
        <f>1/(V5+V4-1/T20)</f>
        <v>183.96619119191388</v>
      </c>
      <c r="Y8" s="106">
        <f>1/(1/T24+1/T28-1/T20)</f>
        <v>183.98777714902792</v>
      </c>
      <c r="AA8" s="29" t="s">
        <v>5</v>
      </c>
      <c r="AB8" s="37">
        <v>470000</v>
      </c>
      <c r="AC8" s="31" t="s">
        <v>1</v>
      </c>
      <c r="AD8" s="40">
        <f>AB10/(AB10+AB9)</f>
        <v>5.8139534883720929E-3</v>
      </c>
      <c r="AE8" s="41" t="s">
        <v>14</v>
      </c>
      <c r="AF8" s="106">
        <f>1/(AD5+AD4-1/AB20)</f>
        <v>207.66227506556706</v>
      </c>
      <c r="AG8" s="106">
        <f>1/(1/AB24+1/AB28-1/AB20)</f>
        <v>207.70294461423953</v>
      </c>
    </row>
    <row r="9" spans="2:33" ht="7.8" customHeight="1">
      <c r="B9" s="29" t="s">
        <v>32</v>
      </c>
      <c r="C9" s="37">
        <f>33000</f>
        <v>33000</v>
      </c>
      <c r="D9" s="31" t="s">
        <v>9</v>
      </c>
      <c r="E9" s="32">
        <f>1+E8*E12/E6</f>
        <v>1.002186863509398</v>
      </c>
      <c r="F9" s="44" t="s">
        <v>79</v>
      </c>
      <c r="G9" s="74">
        <f>E11</f>
        <v>14919.580938110095</v>
      </c>
      <c r="H9" s="74">
        <f>E13</f>
        <v>14919.840824925468</v>
      </c>
      <c r="J9" s="29" t="s">
        <v>32</v>
      </c>
      <c r="K9" s="37">
        <f>33000</f>
        <v>33000</v>
      </c>
      <c r="L9" s="31" t="s">
        <v>9</v>
      </c>
      <c r="M9" s="32">
        <f>1+M8*M12/M6</f>
        <v>1.0001468926213855</v>
      </c>
      <c r="N9" s="44" t="s">
        <v>79</v>
      </c>
      <c r="O9" s="74">
        <f>M11</f>
        <v>14890.972698119558</v>
      </c>
      <c r="P9" s="74">
        <f>M13</f>
        <v>14890.992888340717</v>
      </c>
      <c r="S9" s="29" t="s">
        <v>32</v>
      </c>
      <c r="T9" s="46">
        <v>10000000000</v>
      </c>
      <c r="U9" s="31" t="s">
        <v>9</v>
      </c>
      <c r="V9" s="32">
        <f>1+V8*V12/V6</f>
        <v>1.0000005179464106</v>
      </c>
      <c r="W9" s="44" t="s">
        <v>79</v>
      </c>
      <c r="X9" s="45">
        <f>V11</f>
        <v>1593354198.3866632</v>
      </c>
      <c r="Y9" s="45">
        <f>V13</f>
        <v>-3344174723.0930719</v>
      </c>
      <c r="AA9" s="29" t="s">
        <v>32</v>
      </c>
      <c r="AB9" s="37">
        <v>11628</v>
      </c>
      <c r="AC9" s="31" t="s">
        <v>9</v>
      </c>
      <c r="AD9" s="32">
        <f>1+AD8*AD12/AD6</f>
        <v>1.0000640741581603</v>
      </c>
      <c r="AE9" s="44" t="s">
        <v>79</v>
      </c>
      <c r="AF9" s="74">
        <f>AD11</f>
        <v>7771.7354722826049</v>
      </c>
      <c r="AG9" s="74">
        <f>AD13</f>
        <v>7771.8031945002649</v>
      </c>
    </row>
    <row r="10" spans="2:33" ht="7.8" customHeight="1">
      <c r="B10" s="29" t="s">
        <v>33</v>
      </c>
      <c r="C10" s="33">
        <v>235</v>
      </c>
      <c r="D10" s="31"/>
      <c r="E10" s="32"/>
      <c r="F10" s="47" t="s">
        <v>77</v>
      </c>
      <c r="G10" s="48">
        <f>(C5*E3+1)/E4+E3</f>
        <v>5016092.1766747106</v>
      </c>
      <c r="H10" s="48">
        <f>C28+(C28*C5*C27)+C27</f>
        <v>4986949.3080551298</v>
      </c>
      <c r="J10" s="29" t="s">
        <v>33</v>
      </c>
      <c r="K10" s="33">
        <v>235</v>
      </c>
      <c r="L10" s="31"/>
      <c r="M10" s="32"/>
      <c r="N10" s="47" t="s">
        <v>77</v>
      </c>
      <c r="O10" s="48">
        <f>(K5*M3+1)/M4+M3</f>
        <v>14111190.961261131</v>
      </c>
      <c r="P10" s="48">
        <f>K28+(K28*K5*K27)+K27</f>
        <v>14093122.114364402</v>
      </c>
      <c r="S10" s="29" t="s">
        <v>33</v>
      </c>
      <c r="T10" s="46">
        <v>10000000000</v>
      </c>
      <c r="U10" s="31"/>
      <c r="V10" s="32"/>
      <c r="W10" s="47" t="s">
        <v>77</v>
      </c>
      <c r="X10" s="48">
        <f>(T5*V3+1)/V4+V3</f>
        <v>1435109.2553389072</v>
      </c>
      <c r="Y10" s="48">
        <f>T28+(T28*T5*T27)+T27</f>
        <v>1433266.369877527</v>
      </c>
      <c r="AA10" s="29" t="s">
        <v>33</v>
      </c>
      <c r="AB10" s="37">
        <v>68</v>
      </c>
      <c r="AC10" s="31"/>
      <c r="AD10" s="32"/>
      <c r="AE10" s="47" t="s">
        <v>77</v>
      </c>
      <c r="AF10" s="48">
        <f>(AB5*AD3+1)/AD4+AD3</f>
        <v>1861263.7411442329</v>
      </c>
      <c r="AG10" s="48">
        <f>AB28+(AB28*AB5*AB27)+AB27</f>
        <v>1857481.3049813809</v>
      </c>
    </row>
    <row r="11" spans="2:33" ht="7.8" customHeight="1">
      <c r="B11" s="29"/>
      <c r="C11" s="30"/>
      <c r="D11" s="49" t="s">
        <v>78</v>
      </c>
      <c r="E11" s="32">
        <f>1/(1/(C9+C10)+1/C20+1/C7-(1/G5-1)/(C25+C16+C8*C15/(C15+C8)))</f>
        <v>14919.580938110095</v>
      </c>
      <c r="F11" s="50"/>
      <c r="G11" s="83"/>
      <c r="H11" s="51"/>
      <c r="J11" s="29"/>
      <c r="K11" s="30"/>
      <c r="L11" s="49" t="s">
        <v>78</v>
      </c>
      <c r="M11" s="32">
        <f>1/(1/(K9+K10)+1/K20+1/K7-(1/O5-1)/(K25+K16+K8*K15/(K15+K8)))</f>
        <v>14890.972698119558</v>
      </c>
      <c r="N11" s="50"/>
      <c r="O11" s="83"/>
      <c r="P11" s="51"/>
      <c r="S11" s="29"/>
      <c r="T11" s="30"/>
      <c r="U11" s="49" t="s">
        <v>78</v>
      </c>
      <c r="V11" s="32">
        <f>1/(1/(T9+T10)+1/T20+1/T7-(1/X5-1)/(T25+T16+T8*T15/(T15+T8)))</f>
        <v>1593354198.3866632</v>
      </c>
      <c r="W11" s="50"/>
      <c r="X11" s="83"/>
      <c r="Y11" s="51"/>
      <c r="AA11" s="29"/>
      <c r="AB11" s="30"/>
      <c r="AC11" s="49" t="s">
        <v>78</v>
      </c>
      <c r="AD11" s="32">
        <f>1/(1/(AB9+AB10)+1/AB20+1/AB7-(1/AF5-1)/(AB25+AB16+AB8*AB15/(AB15+AB8)))</f>
        <v>7771.7354722826049</v>
      </c>
      <c r="AE11" s="50"/>
      <c r="AF11" s="83"/>
      <c r="AG11" s="51"/>
    </row>
    <row r="12" spans="2:33" ht="7.8" customHeight="1">
      <c r="B12" s="29"/>
      <c r="C12" s="30"/>
      <c r="D12" s="31" t="s">
        <v>10</v>
      </c>
      <c r="E12" s="32">
        <f>(1+C18)*C17+C19</f>
        <v>31000</v>
      </c>
      <c r="F12" s="31"/>
      <c r="G12" s="95" t="s">
        <v>46</v>
      </c>
      <c r="H12" s="52" t="s">
        <v>45</v>
      </c>
      <c r="J12" s="29"/>
      <c r="K12" s="30"/>
      <c r="L12" s="31" t="s">
        <v>10</v>
      </c>
      <c r="M12" s="32">
        <f>(1+K18)*K17+K19</f>
        <v>9768.7999999999993</v>
      </c>
      <c r="N12" s="31"/>
      <c r="O12" s="95" t="s">
        <v>46</v>
      </c>
      <c r="P12" s="52" t="s">
        <v>45</v>
      </c>
      <c r="S12" s="29"/>
      <c r="T12" s="53"/>
      <c r="U12" s="31" t="s">
        <v>10</v>
      </c>
      <c r="V12" s="32">
        <f>(1+T18)*T17+T19</f>
        <v>5180.5</v>
      </c>
      <c r="W12" s="31"/>
      <c r="X12" s="95" t="s">
        <v>46</v>
      </c>
      <c r="Y12" s="52" t="s">
        <v>45</v>
      </c>
      <c r="AA12" s="29"/>
      <c r="AB12" s="30"/>
      <c r="AC12" s="31" t="s">
        <v>10</v>
      </c>
      <c r="AD12" s="32">
        <f>(1+AB18)*AB17+AB19</f>
        <v>5180.5</v>
      </c>
      <c r="AE12" s="31"/>
      <c r="AF12" s="95" t="s">
        <v>46</v>
      </c>
      <c r="AG12" s="52" t="s">
        <v>45</v>
      </c>
    </row>
    <row r="13" spans="2:33" ht="7.8" customHeight="1">
      <c r="B13" s="29"/>
      <c r="C13" s="30"/>
      <c r="D13" s="49" t="s">
        <v>85</v>
      </c>
      <c r="E13" s="32">
        <f>(1+C27*C5)/(C27*C5*(1/C28-1/C6)-1/C6)</f>
        <v>14919.840824925468</v>
      </c>
      <c r="F13" s="31"/>
      <c r="G13" s="83"/>
      <c r="H13" s="54"/>
      <c r="J13" s="29"/>
      <c r="K13" s="30"/>
      <c r="L13" s="49" t="s">
        <v>85</v>
      </c>
      <c r="M13" s="32">
        <f>(1+K27*K5)/(K27*K5*(1/K28-1/K6)-1/K6)</f>
        <v>14890.992888340717</v>
      </c>
      <c r="N13" s="31"/>
      <c r="O13" s="83"/>
      <c r="P13" s="54"/>
      <c r="S13" s="29"/>
      <c r="T13" s="30"/>
      <c r="U13" s="49" t="s">
        <v>85</v>
      </c>
      <c r="V13" s="32">
        <f>(1+T27*T5)/(T27*T5*(1/T28-1/T6)-1/T6)</f>
        <v>-3344174723.0930719</v>
      </c>
      <c r="W13" s="31"/>
      <c r="X13" s="99"/>
      <c r="Y13" s="55"/>
      <c r="AA13" s="29"/>
      <c r="AB13" s="30"/>
      <c r="AC13" s="49" t="s">
        <v>85</v>
      </c>
      <c r="AD13" s="32">
        <f>(1+AB27*AB5)/(AB27*AB5*(1/AB28-1/AB6)-1/AB6)</f>
        <v>7771.8031945002649</v>
      </c>
      <c r="AE13" s="31"/>
      <c r="AF13" s="99"/>
      <c r="AG13" s="55"/>
    </row>
    <row r="14" spans="2:33" ht="7.8" customHeight="1">
      <c r="B14" s="29"/>
      <c r="C14" s="30"/>
      <c r="D14" s="31" t="s">
        <v>16</v>
      </c>
      <c r="E14" s="32">
        <f>(C5+1/E17+(1-E8)/E6)/(1+E12*(1/E17+1/E6))</f>
        <v>9.015345608436259E-3</v>
      </c>
      <c r="F14" s="124" t="s">
        <v>72</v>
      </c>
      <c r="G14" s="125"/>
      <c r="H14" s="126"/>
      <c r="J14" s="29"/>
      <c r="K14" s="30"/>
      <c r="L14" s="31" t="s">
        <v>16</v>
      </c>
      <c r="M14" s="32">
        <f>(K5+1/M17+(1-M8)/M6)/(1+M12*(1/M17+1/M6))</f>
        <v>2.6498628957324445E-2</v>
      </c>
      <c r="N14" s="124" t="s">
        <v>72</v>
      </c>
      <c r="O14" s="125"/>
      <c r="P14" s="126"/>
      <c r="S14" s="29"/>
      <c r="T14" s="30"/>
      <c r="U14" s="31" t="s">
        <v>16</v>
      </c>
      <c r="V14" s="32">
        <f>(T5+1/V17+(1-V8)/V6)/(1+V12*(1/V17+1/V6))</f>
        <v>5.2600054830765249E-3</v>
      </c>
      <c r="W14" s="124" t="s">
        <v>88</v>
      </c>
      <c r="X14" s="125"/>
      <c r="Y14" s="126"/>
      <c r="AA14" s="29"/>
      <c r="AB14" s="30"/>
      <c r="AC14" s="31" t="s">
        <v>16</v>
      </c>
      <c r="AD14" s="32">
        <f>(AB5+1/AD17+(1-AD8)/AD6)/(1+AD12*(1/AD17+1/AD6))</f>
        <v>4.6850627087604516E-3</v>
      </c>
      <c r="AE14" s="124" t="s">
        <v>72</v>
      </c>
      <c r="AF14" s="125"/>
      <c r="AG14" s="126"/>
    </row>
    <row r="15" spans="2:33" ht="7.8" customHeight="1">
      <c r="B15" s="29" t="s">
        <v>30</v>
      </c>
      <c r="C15" s="33">
        <f>12000-313</f>
        <v>11687</v>
      </c>
      <c r="D15" s="31" t="s">
        <v>11</v>
      </c>
      <c r="E15" s="32">
        <f>1/E18+C8/(E16*E6)+1/C20</f>
        <v>7.5489087040214021E-5</v>
      </c>
      <c r="F15" s="34" t="s">
        <v>69</v>
      </c>
      <c r="G15" s="35">
        <f>E14/(E9*E14+E15)</f>
        <v>0.98955009114639836</v>
      </c>
      <c r="H15" s="56">
        <f>C28/(C28+C24)</f>
        <v>0.99168698542902312</v>
      </c>
      <c r="J15" s="29" t="s">
        <v>30</v>
      </c>
      <c r="K15" s="33">
        <f>32423-K16</f>
        <v>32110</v>
      </c>
      <c r="L15" s="31" t="s">
        <v>11</v>
      </c>
      <c r="M15" s="32">
        <f>1/M18+K8/(M16*M6)+1/K20</f>
        <v>7.554420162610319E-5</v>
      </c>
      <c r="N15" s="34" t="s">
        <v>69</v>
      </c>
      <c r="O15" s="105">
        <f>M14/(M9*M14+M15)</f>
        <v>0.99701119502614088</v>
      </c>
      <c r="P15" s="56">
        <f>K28/(K28+K24)</f>
        <v>0.99715665121619002</v>
      </c>
      <c r="S15" s="29" t="s">
        <v>30</v>
      </c>
      <c r="T15" s="33">
        <v>49335</v>
      </c>
      <c r="U15" s="31" t="s">
        <v>11</v>
      </c>
      <c r="V15" s="32">
        <f>1/V18+T8/(V16*V6)+1/T20</f>
        <v>1.9952849239952849E-4</v>
      </c>
      <c r="W15" s="34" t="s">
        <v>69</v>
      </c>
      <c r="X15" s="100" t="s">
        <v>76</v>
      </c>
      <c r="Y15" s="79" t="s">
        <v>76</v>
      </c>
      <c r="AA15" s="29" t="s">
        <v>30</v>
      </c>
      <c r="AB15" s="33">
        <f>50000-AB16</f>
        <v>49493</v>
      </c>
      <c r="AC15" s="31" t="s">
        <v>11</v>
      </c>
      <c r="AD15" s="32">
        <f>1/AD18+AB8/(AD16*AD6)+1/AB20</f>
        <v>1.3020975996420048E-4</v>
      </c>
      <c r="AE15" s="34" t="s">
        <v>69</v>
      </c>
      <c r="AF15" s="35">
        <f>AD14/(AD9*AD14+AD15)</f>
        <v>0.97289835277690817</v>
      </c>
      <c r="AG15" s="35">
        <f>AB28/(AB28+AB24)</f>
        <v>0.97295654661646358</v>
      </c>
    </row>
    <row r="16" spans="2:33" ht="7.8" customHeight="1">
      <c r="B16" s="29" t="s">
        <v>31</v>
      </c>
      <c r="C16" s="33">
        <v>313</v>
      </c>
      <c r="D16" s="31" t="s">
        <v>60</v>
      </c>
      <c r="E16" s="40">
        <f>C9+C10</f>
        <v>33235</v>
      </c>
      <c r="F16" s="57" t="s">
        <v>12</v>
      </c>
      <c r="G16" s="105">
        <f>-C18*G15</f>
        <v>-8.9059508203175852</v>
      </c>
      <c r="H16" s="72">
        <f>-C18*H5</f>
        <v>-8.9251828688612083</v>
      </c>
      <c r="J16" s="29" t="s">
        <v>31</v>
      </c>
      <c r="K16" s="33">
        <v>313</v>
      </c>
      <c r="L16" s="31" t="s">
        <v>60</v>
      </c>
      <c r="M16" s="40">
        <f>K9+K10</f>
        <v>33235</v>
      </c>
      <c r="N16" s="57" t="s">
        <v>12</v>
      </c>
      <c r="O16" s="105">
        <f>-K18*O15</f>
        <v>-8.5742962772248106</v>
      </c>
      <c r="P16" s="72">
        <f>-K18*P5</f>
        <v>-8.5755472004592335</v>
      </c>
      <c r="S16" s="29" t="s">
        <v>31</v>
      </c>
      <c r="T16" s="33">
        <v>665</v>
      </c>
      <c r="U16" s="31" t="s">
        <v>60</v>
      </c>
      <c r="V16" s="40">
        <f>T9+T10</f>
        <v>20000000000</v>
      </c>
      <c r="W16" s="57" t="s">
        <v>12</v>
      </c>
      <c r="X16" s="100" t="s">
        <v>76</v>
      </c>
      <c r="Y16" s="79" t="s">
        <v>76</v>
      </c>
      <c r="AA16" s="29" t="s">
        <v>31</v>
      </c>
      <c r="AB16" s="58">
        <v>507</v>
      </c>
      <c r="AC16" s="31" t="s">
        <v>60</v>
      </c>
      <c r="AD16" s="40">
        <f>AB9+AB10</f>
        <v>11696</v>
      </c>
      <c r="AE16" s="38" t="s">
        <v>12</v>
      </c>
      <c r="AF16" s="42">
        <f>-AB18*AF15</f>
        <v>-28.311342065808031</v>
      </c>
      <c r="AG16" s="42">
        <f>-AB18*AG5</f>
        <v>-28.313035506539091</v>
      </c>
    </row>
    <row r="17" spans="2:33" ht="7.8" customHeight="1">
      <c r="B17" s="29" t="s">
        <v>34</v>
      </c>
      <c r="C17" s="33">
        <v>2200</v>
      </c>
      <c r="D17" s="31" t="s">
        <v>0</v>
      </c>
      <c r="E17" s="40">
        <f>C15+C16</f>
        <v>12000</v>
      </c>
      <c r="F17" s="59" t="s">
        <v>13</v>
      </c>
      <c r="G17" s="106">
        <f>E18*E14/G15</f>
        <v>200.80395975259489</v>
      </c>
      <c r="H17" s="74">
        <f>1/((C28/C26)*C24/(C24+C28))</f>
        <v>200.33466088455495</v>
      </c>
      <c r="J17" s="29" t="s">
        <v>34</v>
      </c>
      <c r="K17" s="33">
        <v>778</v>
      </c>
      <c r="L17" s="31" t="s">
        <v>0</v>
      </c>
      <c r="M17" s="40">
        <f>K15+K16</f>
        <v>32423</v>
      </c>
      <c r="N17" s="59" t="s">
        <v>13</v>
      </c>
      <c r="O17" s="106">
        <f>M18*M14/O15</f>
        <v>585.80226246903896</v>
      </c>
      <c r="P17" s="74">
        <f>1/((K28/K26)*K24/(K24+K28))</f>
        <v>585.71251071543873</v>
      </c>
      <c r="S17" s="29" t="s">
        <v>34</v>
      </c>
      <c r="T17" s="37">
        <v>5</v>
      </c>
      <c r="U17" s="31" t="s">
        <v>0</v>
      </c>
      <c r="V17" s="40">
        <f>T15+T16</f>
        <v>50000</v>
      </c>
      <c r="W17" s="59" t="s">
        <v>13</v>
      </c>
      <c r="X17" s="100" t="s">
        <v>76</v>
      </c>
      <c r="Y17" s="79" t="s">
        <v>76</v>
      </c>
      <c r="AA17" s="85" t="s">
        <v>34</v>
      </c>
      <c r="AB17" s="37">
        <v>5</v>
      </c>
      <c r="AC17" s="31" t="s">
        <v>0</v>
      </c>
      <c r="AD17" s="40">
        <f>AB15+AB16</f>
        <v>50000</v>
      </c>
      <c r="AE17" s="41" t="s">
        <v>13</v>
      </c>
      <c r="AF17" s="106">
        <f>AD18*AD14/AF15</f>
        <v>109.44108967201538</v>
      </c>
      <c r="AG17" s="106">
        <f>1/((AB28/AB26)*AB24/(AB24+AB28))</f>
        <v>109.43465381895145</v>
      </c>
    </row>
    <row r="18" spans="2:33" ht="7.8" customHeight="1">
      <c r="B18" s="29" t="s">
        <v>38</v>
      </c>
      <c r="C18" s="33">
        <v>9</v>
      </c>
      <c r="D18" s="61" t="s">
        <v>61</v>
      </c>
      <c r="E18" s="62">
        <f>1/(1/C7+1/C6)</f>
        <v>22040.816326530614</v>
      </c>
      <c r="F18" s="59" t="s">
        <v>14</v>
      </c>
      <c r="G18" s="106">
        <f>1/(E14/G15-1/C20)</f>
        <v>109.76406183742306</v>
      </c>
      <c r="H18" s="74">
        <f>1/(1/C24+1/C28-1/C20)</f>
        <v>110.02119515867233</v>
      </c>
      <c r="J18" s="29" t="s">
        <v>38</v>
      </c>
      <c r="K18" s="33">
        <v>8.6</v>
      </c>
      <c r="L18" s="61" t="s">
        <v>61</v>
      </c>
      <c r="M18" s="62">
        <f>1/(1/K7+1/K6)</f>
        <v>22040.816326530614</v>
      </c>
      <c r="N18" s="59" t="s">
        <v>14</v>
      </c>
      <c r="O18" s="42">
        <f>1/(M14/O15-1/K20)</f>
        <v>37.625152150385063</v>
      </c>
      <c r="P18" s="60">
        <f>1/(1/K24+1/K28-1/K20)</f>
        <v>37.630917668503365</v>
      </c>
      <c r="S18" s="29" t="s">
        <v>38</v>
      </c>
      <c r="T18" s="33">
        <v>29.1</v>
      </c>
      <c r="U18" s="61" t="s">
        <v>61</v>
      </c>
      <c r="V18" s="62">
        <f>1/(1/T7+1/T6)</f>
        <v>5029.9974699112727</v>
      </c>
      <c r="W18" s="59" t="s">
        <v>14</v>
      </c>
      <c r="X18" s="100" t="s">
        <v>76</v>
      </c>
      <c r="Y18" s="79" t="s">
        <v>76</v>
      </c>
      <c r="AA18" s="29" t="s">
        <v>38</v>
      </c>
      <c r="AB18" s="33">
        <v>29.1</v>
      </c>
      <c r="AC18" s="61" t="s">
        <v>61</v>
      </c>
      <c r="AD18" s="62">
        <f>1/(1/AB7+1/AB6)</f>
        <v>22726.495350621302</v>
      </c>
      <c r="AE18" s="41" t="s">
        <v>14</v>
      </c>
      <c r="AF18" s="106">
        <f>1/(AD14/AF15-1/AB20)</f>
        <v>207.69072849072668</v>
      </c>
      <c r="AG18" s="106">
        <f>1/(1/AB24+1/AB28-1/AB20)</f>
        <v>207.70294461423953</v>
      </c>
    </row>
    <row r="19" spans="2:33" ht="7.8" customHeight="1">
      <c r="B19" s="29" t="s">
        <v>35</v>
      </c>
      <c r="C19" s="33">
        <v>9000</v>
      </c>
      <c r="D19" s="49" t="s">
        <v>83</v>
      </c>
      <c r="E19" s="63">
        <f>G15*(1/C20+1/C7)+(G15-E28)/(C15+C16)+(G15-E22)/C10</f>
        <v>6.6255510552897968E-5</v>
      </c>
      <c r="F19" s="44" t="s">
        <v>79</v>
      </c>
      <c r="G19" s="74">
        <f>G15/E19</f>
        <v>14935.362853424063</v>
      </c>
      <c r="H19" s="74">
        <f>E13</f>
        <v>14919.840824925468</v>
      </c>
      <c r="J19" s="29" t="s">
        <v>35</v>
      </c>
      <c r="K19" s="33">
        <v>2300</v>
      </c>
      <c r="L19" s="49" t="s">
        <v>83</v>
      </c>
      <c r="M19" s="63">
        <f>O15*(1/K20+1/K7)+(O15-M28)/(K15+K16)+(O15-M22)/K10</f>
        <v>6.6939139585948625E-5</v>
      </c>
      <c r="N19" s="44" t="s">
        <v>79</v>
      </c>
      <c r="O19" s="74">
        <f>O15/M19</f>
        <v>14894.293550725983</v>
      </c>
      <c r="P19" s="74">
        <f>M13</f>
        <v>14890.992888340717</v>
      </c>
      <c r="S19" s="29" t="s">
        <v>35</v>
      </c>
      <c r="T19" s="37">
        <v>5030</v>
      </c>
      <c r="U19" s="49" t="s">
        <v>83</v>
      </c>
      <c r="V19" s="63" t="e">
        <f>X15*(1/T20+1/T7)+(X15-V28)/(T15+T16)+(X15-V22)/T10</f>
        <v>#VALUE!</v>
      </c>
      <c r="W19" s="44" t="s">
        <v>79</v>
      </c>
      <c r="X19" s="100" t="s">
        <v>76</v>
      </c>
      <c r="Y19" s="79" t="s">
        <v>76</v>
      </c>
      <c r="AA19" s="29" t="s">
        <v>35</v>
      </c>
      <c r="AB19" s="33">
        <v>5030</v>
      </c>
      <c r="AC19" s="49" t="s">
        <v>83</v>
      </c>
      <c r="AD19" s="63">
        <f>AF15*(1/AB20+1/AB7)+(AF15-AD28)/(AB15+AB16)+(AF15-AD22)/AB10</f>
        <v>1.2517148548055028E-4</v>
      </c>
      <c r="AE19" s="44" t="s">
        <v>79</v>
      </c>
      <c r="AF19" s="74">
        <f>AF15/AD19</f>
        <v>7772.5238223531478</v>
      </c>
      <c r="AG19" s="74">
        <f>AD13</f>
        <v>7771.8031945002649</v>
      </c>
    </row>
    <row r="20" spans="2:33" ht="7.8" customHeight="1">
      <c r="B20" s="29" t="s">
        <v>4</v>
      </c>
      <c r="C20" s="46">
        <v>10000000</v>
      </c>
      <c r="D20" s="31" t="s">
        <v>62</v>
      </c>
      <c r="E20" s="63">
        <f>1/(1/C6+1/C7+1/C20)</f>
        <v>21992.343406369633</v>
      </c>
      <c r="F20" s="47" t="s">
        <v>77</v>
      </c>
      <c r="G20" s="45">
        <f>1/(E25+E26*E29/(E27+E26))</f>
        <v>3694385.2223448353</v>
      </c>
      <c r="H20" s="45">
        <f>C28+(C28*C5*C27)+C27</f>
        <v>4986949.3080551298</v>
      </c>
      <c r="J20" s="29" t="s">
        <v>4</v>
      </c>
      <c r="K20" s="46">
        <v>10000000</v>
      </c>
      <c r="L20" s="31" t="s">
        <v>62</v>
      </c>
      <c r="M20" s="63">
        <f>1/(1/K6+1/K7+1/K20)</f>
        <v>21992.343406369633</v>
      </c>
      <c r="N20" s="47" t="s">
        <v>77</v>
      </c>
      <c r="O20" s="45">
        <f>1/(M25+M26*M29/(M27+M26))</f>
        <v>11635357.944933087</v>
      </c>
      <c r="P20" s="45">
        <f>K28+(K28*K5*K27)+K27</f>
        <v>14093122.114364402</v>
      </c>
      <c r="S20" s="29" t="s">
        <v>4</v>
      </c>
      <c r="T20" s="108">
        <v>1386510</v>
      </c>
      <c r="U20" s="31" t="s">
        <v>62</v>
      </c>
      <c r="V20" s="63">
        <f>1/(1/T6+1/T7+1/T20)</f>
        <v>5011.8155458607125</v>
      </c>
      <c r="W20" s="47" t="s">
        <v>77</v>
      </c>
      <c r="X20" s="101" t="s">
        <v>76</v>
      </c>
      <c r="Y20" s="80" t="s">
        <v>76</v>
      </c>
      <c r="AA20" s="29" t="s">
        <v>4</v>
      </c>
      <c r="AB20" s="108">
        <v>1386510</v>
      </c>
      <c r="AC20" s="31" t="s">
        <v>62</v>
      </c>
      <c r="AD20" s="63">
        <f>1/(1/AB6+1/AB7+1/AB20)</f>
        <v>22359.989379036098</v>
      </c>
      <c r="AE20" s="47" t="s">
        <v>77</v>
      </c>
      <c r="AF20" s="45">
        <f>1/(AD25+AD26*AD29/(AD27+AD26))</f>
        <v>1816942.6650089819</v>
      </c>
      <c r="AG20" s="48">
        <f>AB28+(AB28*AB5*AB27)+AB27</f>
        <v>1857481.3049813809</v>
      </c>
    </row>
    <row r="21" spans="2:33" ht="7.8" customHeight="1">
      <c r="B21" s="29"/>
      <c r="C21" s="30"/>
      <c r="D21" s="64" t="s">
        <v>80</v>
      </c>
      <c r="E21" s="63">
        <f>(C8+C25)*(C15+C16)+C8*C25</f>
        <v>4672000000</v>
      </c>
      <c r="F21" s="65"/>
      <c r="G21" s="96"/>
      <c r="H21" s="55"/>
      <c r="J21" s="29"/>
      <c r="K21" s="30"/>
      <c r="L21" s="64" t="s">
        <v>80</v>
      </c>
      <c r="M21" s="63">
        <f>(K8+K25)*(K15+K16)+K8*K25</f>
        <v>20146879802.400002</v>
      </c>
      <c r="N21" s="65"/>
      <c r="O21" s="96"/>
      <c r="P21" s="55"/>
      <c r="S21" s="29"/>
      <c r="T21" s="30"/>
      <c r="U21" s="64" t="s">
        <v>80</v>
      </c>
      <c r="V21" s="63">
        <f>(T8+T25)*(T15+T16)+T8*T25</f>
        <v>55439525000</v>
      </c>
      <c r="W21" s="66"/>
      <c r="X21" s="99"/>
      <c r="Y21" s="67"/>
      <c r="AA21" s="29"/>
      <c r="AB21" s="30"/>
      <c r="AC21" s="64" t="s">
        <v>80</v>
      </c>
      <c r="AD21" s="63">
        <f>(AB8+AB25)*(AB15+AB16)+AB8*AB25</f>
        <v>26193860000</v>
      </c>
      <c r="AE21" s="66"/>
      <c r="AF21" s="99"/>
      <c r="AG21" s="67"/>
    </row>
    <row r="22" spans="2:33" ht="7.8" customHeight="1">
      <c r="B22" s="29"/>
      <c r="C22" s="30"/>
      <c r="D22" s="49" t="s">
        <v>81</v>
      </c>
      <c r="E22" s="63">
        <f>((C25*G15+(C15+C16)*1)/E21+G15/C10)/(1/C9+1/C10+(C25+C15+C16)/E21)</f>
        <v>0.98257436587761648</v>
      </c>
      <c r="F22" s="118" t="s">
        <v>84</v>
      </c>
      <c r="G22" s="119"/>
      <c r="H22" s="68"/>
      <c r="J22" s="29"/>
      <c r="K22" s="30"/>
      <c r="L22" s="49" t="s">
        <v>81</v>
      </c>
      <c r="M22" s="63">
        <f>((K25*O15+(K15+K16)*1)/M21+O15/K10)/(1/K9+1/K10+(K25+K15+K16)/M21)</f>
        <v>0.98996603444756537</v>
      </c>
      <c r="N22" s="118" t="s">
        <v>84</v>
      </c>
      <c r="O22" s="119"/>
      <c r="P22" s="68"/>
      <c r="S22" s="29"/>
      <c r="T22" s="30"/>
      <c r="U22" s="49" t="s">
        <v>81</v>
      </c>
      <c r="V22" s="63" t="e">
        <f>((T25*X15+(T15+T16)*1)/V21+X15/T10)/(1/T9+1/T10+(T25+T15+T16)/V21)</f>
        <v>#VALUE!</v>
      </c>
      <c r="W22" s="118" t="s">
        <v>84</v>
      </c>
      <c r="X22" s="119"/>
      <c r="Y22" s="67"/>
      <c r="AA22" s="29"/>
      <c r="AB22" s="30"/>
      <c r="AC22" s="49" t="s">
        <v>81</v>
      </c>
      <c r="AD22" s="63">
        <f>((AB25*AF15+(AB15+AB16)*1)/AD21+AF15/AB10)/(1/AB9+1/AB10+(AB25+AB15+AB16)/AD21)</f>
        <v>0.96724626933888436</v>
      </c>
      <c r="AE22" s="118" t="s">
        <v>84</v>
      </c>
      <c r="AF22" s="119"/>
      <c r="AG22" s="67"/>
    </row>
    <row r="23" spans="2:33" ht="7.8" customHeight="1">
      <c r="B23" s="29"/>
      <c r="D23" s="31" t="s">
        <v>63</v>
      </c>
      <c r="E23" s="69">
        <f>C5+1/(C15+C16)</f>
        <v>3.5083333333333334E-2</v>
      </c>
      <c r="F23" s="70" t="s">
        <v>70</v>
      </c>
      <c r="G23" s="109">
        <v>445</v>
      </c>
      <c r="H23" s="55"/>
      <c r="J23" s="29"/>
      <c r="L23" s="31" t="s">
        <v>63</v>
      </c>
      <c r="M23" s="69">
        <f>K5+1/(K15+K16)</f>
        <v>3.5030842303303215E-2</v>
      </c>
      <c r="N23" s="70" t="s">
        <v>70</v>
      </c>
      <c r="O23" s="109">
        <v>445</v>
      </c>
      <c r="P23" s="55"/>
      <c r="S23" s="29"/>
      <c r="U23" s="31" t="s">
        <v>63</v>
      </c>
      <c r="V23" s="69">
        <f>T5+1/(T15+T16)</f>
        <v>5.8050000000000003E-3</v>
      </c>
      <c r="W23" s="70" t="s">
        <v>70</v>
      </c>
      <c r="X23" s="109">
        <v>200</v>
      </c>
      <c r="Y23" s="55"/>
      <c r="AA23" s="29"/>
      <c r="AC23" s="31" t="s">
        <v>63</v>
      </c>
      <c r="AD23" s="69">
        <f>AB5+1/(AB15+AB16)</f>
        <v>5.2199999999999998E-3</v>
      </c>
      <c r="AE23" s="71" t="s">
        <v>70</v>
      </c>
      <c r="AF23" s="111">
        <v>400</v>
      </c>
      <c r="AG23" s="55"/>
    </row>
    <row r="24" spans="2:33" ht="7.8" customHeight="1">
      <c r="B24" s="29" t="s">
        <v>44</v>
      </c>
      <c r="C24" s="72">
        <f>(1+C25/C27)/(C5+1/C27)</f>
        <v>110.94224924012155</v>
      </c>
      <c r="D24" s="31" t="s">
        <v>65</v>
      </c>
      <c r="E24" s="69">
        <f>C10/E20+E23*C10+1</f>
        <v>9.2552688703703705</v>
      </c>
      <c r="F24" s="70" t="s">
        <v>47</v>
      </c>
      <c r="G24" s="109" t="s">
        <v>48</v>
      </c>
      <c r="H24" s="55"/>
      <c r="J24" s="29" t="s">
        <v>44</v>
      </c>
      <c r="K24" s="72">
        <f>(1+K25/K27)/(K5+1/K27)</f>
        <v>37.738078580274333</v>
      </c>
      <c r="L24" s="31" t="s">
        <v>65</v>
      </c>
      <c r="M24" s="69">
        <f>K10/M20+M23*K10+1</f>
        <v>9.2429334783132937</v>
      </c>
      <c r="N24" s="70" t="s">
        <v>47</v>
      </c>
      <c r="O24" s="109" t="s">
        <v>48</v>
      </c>
      <c r="P24" s="55"/>
      <c r="S24" s="29" t="s">
        <v>44</v>
      </c>
      <c r="T24" s="72">
        <f>(1+T25/T27)/(T5+1/T27)</f>
        <v>190.97321736135032</v>
      </c>
      <c r="U24" s="31" t="s">
        <v>65</v>
      </c>
      <c r="V24" s="69">
        <f>T10/V20+V23*T10+1</f>
        <v>60045285.923895307</v>
      </c>
      <c r="W24" s="70" t="s">
        <v>52</v>
      </c>
      <c r="X24" s="109" t="s">
        <v>48</v>
      </c>
      <c r="Y24" s="55"/>
      <c r="AA24" s="29" t="s">
        <v>44</v>
      </c>
      <c r="AB24" s="74">
        <f>(1+AB25/AB27)/(AB5+1/AB27)</f>
        <v>213.44410039113427</v>
      </c>
      <c r="AC24" s="31" t="s">
        <v>65</v>
      </c>
      <c r="AD24" s="69">
        <f>AB10/AD20+AD23*AB10+1</f>
        <v>1.3580011463461497</v>
      </c>
      <c r="AE24" s="70" t="s">
        <v>55</v>
      </c>
      <c r="AF24" s="109" t="s">
        <v>48</v>
      </c>
      <c r="AG24" s="55"/>
    </row>
    <row r="25" spans="2:33" ht="7.8" customHeight="1">
      <c r="B25" s="73" t="s">
        <v>43</v>
      </c>
      <c r="C25" s="74">
        <f>C19+(1+C18)*C17</f>
        <v>31000</v>
      </c>
      <c r="D25" s="31" t="s">
        <v>64</v>
      </c>
      <c r="E25" s="69">
        <f>C10/((C15+C16)*E24*E20)</f>
        <v>9.6211296746201671E-8</v>
      </c>
      <c r="F25" s="70" t="s">
        <v>75</v>
      </c>
      <c r="G25" s="109">
        <v>12.1</v>
      </c>
      <c r="H25" s="55"/>
      <c r="J25" s="73" t="s">
        <v>43</v>
      </c>
      <c r="K25" s="74">
        <f>K19+(1+K18)*K17</f>
        <v>9768.7999999999993</v>
      </c>
      <c r="L25" s="31" t="s">
        <v>64</v>
      </c>
      <c r="M25" s="69">
        <f>K10/((K15+K16)*M24*M20)</f>
        <v>3.5656058222992736E-8</v>
      </c>
      <c r="N25" s="70" t="s">
        <v>75</v>
      </c>
      <c r="O25" s="109">
        <v>12.1</v>
      </c>
      <c r="P25" s="55"/>
      <c r="S25" s="73" t="s">
        <v>43</v>
      </c>
      <c r="T25" s="75">
        <f>T19+(1+T18)*T17</f>
        <v>5180.5</v>
      </c>
      <c r="U25" s="31" t="s">
        <v>64</v>
      </c>
      <c r="V25" s="69">
        <f>T10/((T15+T16)*V24*V20)</f>
        <v>6.6459336255779991E-7</v>
      </c>
      <c r="W25" s="70" t="s">
        <v>75</v>
      </c>
      <c r="X25" s="109">
        <v>2</v>
      </c>
      <c r="Y25" s="55"/>
      <c r="AA25" s="73" t="s">
        <v>43</v>
      </c>
      <c r="AB25" s="74">
        <f>AB19+(1+AB18)*AB17</f>
        <v>5180.5</v>
      </c>
      <c r="AC25" s="31" t="s">
        <v>64</v>
      </c>
      <c r="AD25" s="69">
        <f>AB10/((AB15+AB16)*AD24*AD20)</f>
        <v>4.478856817363018E-8</v>
      </c>
      <c r="AE25" s="70" t="s">
        <v>75</v>
      </c>
      <c r="AF25" s="109">
        <v>14.9</v>
      </c>
      <c r="AG25" s="55"/>
    </row>
    <row r="26" spans="2:33" ht="7.8" customHeight="1">
      <c r="B26" s="73" t="s">
        <v>36</v>
      </c>
      <c r="C26" s="74">
        <f>1/(1/C6+1/C7)</f>
        <v>22040.816326530614</v>
      </c>
      <c r="D26" s="31" t="s">
        <v>66</v>
      </c>
      <c r="E26" s="69">
        <f>1/(E24*E20)+1/C9</f>
        <v>3.5215947583687407E-5</v>
      </c>
      <c r="F26" s="70" t="s">
        <v>97</v>
      </c>
      <c r="G26" s="109" t="s">
        <v>49</v>
      </c>
      <c r="H26" s="55"/>
      <c r="J26" s="73" t="s">
        <v>36</v>
      </c>
      <c r="K26" s="74">
        <f>1/(1/K6+1/K7)</f>
        <v>22040.816326530614</v>
      </c>
      <c r="L26" s="31" t="s">
        <v>66</v>
      </c>
      <c r="M26" s="69">
        <f>1/(M24*M20)+1/K9</f>
        <v>3.5222504242451974E-5</v>
      </c>
      <c r="N26" s="70" t="s">
        <v>100</v>
      </c>
      <c r="O26" s="109" t="s">
        <v>49</v>
      </c>
      <c r="P26" s="55"/>
      <c r="S26" s="73" t="s">
        <v>36</v>
      </c>
      <c r="T26" s="74">
        <f>1/(1/T6+1/T7)</f>
        <v>5029.9974699112727</v>
      </c>
      <c r="U26" s="31" t="s">
        <v>66</v>
      </c>
      <c r="V26" s="69">
        <f>1/(V24*V20)+1/T9</f>
        <v>1.0332296681278901E-10</v>
      </c>
      <c r="W26" s="70" t="s">
        <v>52</v>
      </c>
      <c r="X26" s="109" t="s">
        <v>49</v>
      </c>
      <c r="Y26" s="55"/>
      <c r="AA26" s="73" t="s">
        <v>36</v>
      </c>
      <c r="AB26" s="74">
        <f>1/(1/AB6+1/AB7)</f>
        <v>22726.495350621302</v>
      </c>
      <c r="AC26" s="31" t="s">
        <v>66</v>
      </c>
      <c r="AD26" s="69">
        <f>1/(AD24*AD20)+1/AB9</f>
        <v>1.189320827214085E-4</v>
      </c>
      <c r="AE26" s="70" t="s">
        <v>52</v>
      </c>
      <c r="AF26" s="109" t="s">
        <v>49</v>
      </c>
      <c r="AG26" s="55"/>
    </row>
    <row r="27" spans="2:33" ht="7.8" customHeight="1">
      <c r="B27" s="73" t="s">
        <v>41</v>
      </c>
      <c r="C27" s="74">
        <f>1/(1/C8+1/(C15+C16))</f>
        <v>10714.285714285716</v>
      </c>
      <c r="D27" s="31" t="s">
        <v>67</v>
      </c>
      <c r="E27" s="69">
        <f>E23/E24+1/C8</f>
        <v>3.8006336190457312E-3</v>
      </c>
      <c r="F27" s="70" t="s">
        <v>73</v>
      </c>
      <c r="G27" s="109">
        <v>5.2</v>
      </c>
      <c r="H27" s="55"/>
      <c r="J27" s="73" t="s">
        <v>41</v>
      </c>
      <c r="K27" s="74">
        <f>1/(1/K8+1/(K15+K16))</f>
        <v>30330.637729562539</v>
      </c>
      <c r="L27" s="31" t="s">
        <v>67</v>
      </c>
      <c r="M27" s="69">
        <f>M23/M24+1/K8</f>
        <v>3.7921411207225033E-3</v>
      </c>
      <c r="N27" s="70" t="s">
        <v>73</v>
      </c>
      <c r="O27" s="109">
        <v>5.2</v>
      </c>
      <c r="P27" s="55"/>
      <c r="S27" s="73" t="s">
        <v>41</v>
      </c>
      <c r="T27" s="74">
        <f>1/(1/T8+1/(T15+T16))</f>
        <v>47619.047619047611</v>
      </c>
      <c r="U27" s="31" t="s">
        <v>67</v>
      </c>
      <c r="V27" s="69">
        <f>V23/V24+1/T8</f>
        <v>1.0000966770315218E-6</v>
      </c>
      <c r="W27" s="70" t="s">
        <v>73</v>
      </c>
      <c r="X27" s="109">
        <v>2</v>
      </c>
      <c r="Y27" s="55"/>
      <c r="AA27" s="73" t="s">
        <v>41</v>
      </c>
      <c r="AB27" s="74">
        <f>1/(1/AB8+1/(AB15+AB16))</f>
        <v>45192.307692307688</v>
      </c>
      <c r="AC27" s="31" t="s">
        <v>67</v>
      </c>
      <c r="AD27" s="69">
        <f>AD23/AD24+1/AB8</f>
        <v>3.8460124854783192E-3</v>
      </c>
      <c r="AE27" s="70" t="s">
        <v>73</v>
      </c>
      <c r="AF27" s="109">
        <v>2</v>
      </c>
      <c r="AG27" s="55"/>
    </row>
    <row r="28" spans="2:33" ht="7.8" customHeight="1">
      <c r="B28" s="29" t="s">
        <v>42</v>
      </c>
      <c r="C28" s="74">
        <f>1/(1/C6+1/C7+1/(C9+C10)+1/C20)</f>
        <v>13234.667612608626</v>
      </c>
      <c r="D28" s="49" t="s">
        <v>82</v>
      </c>
      <c r="E28" s="69">
        <f>C8*(E22/C8+E22/C9+(E22-G15)/C10)</f>
        <v>0.99167871289809395</v>
      </c>
      <c r="F28" s="70" t="s">
        <v>74</v>
      </c>
      <c r="G28" s="109">
        <v>158</v>
      </c>
      <c r="H28" s="55"/>
      <c r="J28" s="29" t="s">
        <v>42</v>
      </c>
      <c r="K28" s="74">
        <f>1/(1/K6+1/K7+1/(K9+K10)+1/K20)</f>
        <v>13234.667612608626</v>
      </c>
      <c r="L28" s="49" t="s">
        <v>82</v>
      </c>
      <c r="M28" s="69">
        <f>K8*(M22/K8+M22/K9+(M22-O15)/K10)</f>
        <v>0.99916112548913083</v>
      </c>
      <c r="N28" s="70" t="s">
        <v>74</v>
      </c>
      <c r="O28" s="109">
        <v>50</v>
      </c>
      <c r="P28" s="55"/>
      <c r="S28" s="29" t="s">
        <v>42</v>
      </c>
      <c r="T28" s="74">
        <f>1/(1/T6+1/T7+1/(T9+T10)+1/T20)</f>
        <v>5011.8142899462746</v>
      </c>
      <c r="U28" s="49" t="s">
        <v>82</v>
      </c>
      <c r="V28" s="69" t="e">
        <f>T8*(V22/T8+V22/T9+(V22-X15)/T10)</f>
        <v>#VALUE!</v>
      </c>
      <c r="W28" s="70" t="s">
        <v>74</v>
      </c>
      <c r="X28" s="109">
        <v>50</v>
      </c>
      <c r="Y28" s="55"/>
      <c r="AA28" s="29" t="s">
        <v>42</v>
      </c>
      <c r="AB28" s="74">
        <f>1/(1/AB6+1/AB7+1/(AB9+AB10)+1/AB20)</f>
        <v>7679.190666479125</v>
      </c>
      <c r="AC28" s="49" t="s">
        <v>82</v>
      </c>
      <c r="AD28" s="69">
        <f>AB8*(AD22/AB8+AD22/AB9+(AD22-AF15)/AB10)</f>
        <v>0.99715688812988301</v>
      </c>
      <c r="AE28" s="70" t="s">
        <v>74</v>
      </c>
      <c r="AF28" s="109">
        <v>50</v>
      </c>
      <c r="AG28" s="55"/>
    </row>
    <row r="29" spans="2:33" ht="7.8" customHeight="1">
      <c r="B29" s="29" t="s">
        <v>89</v>
      </c>
      <c r="C29" s="72">
        <f>C25/(C15+C16)</f>
        <v>2.5833333333333335</v>
      </c>
      <c r="D29" s="31" t="s">
        <v>68</v>
      </c>
      <c r="E29" s="69">
        <f>1/((C15+C16)*E24)+1/C8</f>
        <v>1.9003880330274898E-5</v>
      </c>
      <c r="F29" s="76" t="s">
        <v>54</v>
      </c>
      <c r="G29" s="97"/>
      <c r="H29" s="55"/>
      <c r="J29" s="29" t="s">
        <v>89</v>
      </c>
      <c r="K29" s="72">
        <f>K25/(K15+K16)</f>
        <v>0.3012922925084045</v>
      </c>
      <c r="L29" s="31" t="s">
        <v>68</v>
      </c>
      <c r="M29" s="69">
        <f>1/((K15+K16)*M24)+1/K8</f>
        <v>5.4645118168407069E-6</v>
      </c>
      <c r="N29" s="76" t="s">
        <v>54</v>
      </c>
      <c r="O29" s="97"/>
      <c r="P29" s="55"/>
      <c r="S29" s="29" t="s">
        <v>89</v>
      </c>
      <c r="T29" s="72">
        <f>T25/(T15+T16)</f>
        <v>0.10360999999999999</v>
      </c>
      <c r="U29" s="31" t="s">
        <v>68</v>
      </c>
      <c r="V29" s="69">
        <f>1/((T15+T16)*V24)+1/T8</f>
        <v>1.0000003330819346E-6</v>
      </c>
      <c r="W29" s="76" t="s">
        <v>53</v>
      </c>
      <c r="X29" s="97"/>
      <c r="Y29" s="55"/>
      <c r="Z29" s="19"/>
      <c r="AA29" s="29" t="s">
        <v>89</v>
      </c>
      <c r="AB29" s="72">
        <f>AB25/(AB15+AB16)</f>
        <v>0.10360999999999999</v>
      </c>
      <c r="AC29" s="31" t="s">
        <v>68</v>
      </c>
      <c r="AD29" s="69">
        <f>1/((AB15+AB16)*AD24)+1/AB8</f>
        <v>1.6855187643065217E-5</v>
      </c>
      <c r="AE29" s="76" t="s">
        <v>53</v>
      </c>
      <c r="AF29" s="97"/>
      <c r="AG29" s="55"/>
    </row>
    <row r="30" spans="2:33" ht="7.8" customHeight="1" thickBot="1">
      <c r="B30" s="77"/>
      <c r="C30" s="22"/>
      <c r="D30" s="22"/>
      <c r="E30" s="22"/>
      <c r="F30" s="21"/>
      <c r="G30" s="98"/>
      <c r="H30" s="78"/>
      <c r="I30" s="19"/>
      <c r="J30" s="77"/>
      <c r="K30" s="22"/>
      <c r="L30" s="22"/>
      <c r="M30" s="22"/>
      <c r="N30" s="21"/>
      <c r="O30" s="98"/>
      <c r="P30" s="78"/>
      <c r="Q30" s="19"/>
      <c r="R30" s="19"/>
      <c r="S30" s="77"/>
      <c r="T30" s="22"/>
      <c r="U30" s="22"/>
      <c r="V30" s="22"/>
      <c r="W30" s="21"/>
      <c r="X30" s="94"/>
      <c r="Y30" s="78"/>
      <c r="AA30" s="77"/>
      <c r="AB30" s="22"/>
      <c r="AC30" s="22"/>
      <c r="AD30" s="22"/>
      <c r="AE30" s="21"/>
      <c r="AF30" s="94"/>
      <c r="AG30" s="78"/>
    </row>
    <row r="31" spans="2:33" ht="7.8" customHeight="1" thickBot="1">
      <c r="B31" s="30"/>
      <c r="C31" s="30"/>
      <c r="D31" s="30"/>
      <c r="E31" s="30"/>
      <c r="F31" s="31"/>
      <c r="G31" s="84"/>
      <c r="H31" s="30"/>
      <c r="I31" s="19"/>
      <c r="J31" s="30"/>
      <c r="K31" s="30"/>
      <c r="L31" s="30"/>
      <c r="M31" s="30"/>
      <c r="N31" s="31"/>
      <c r="O31" s="84"/>
      <c r="P31" s="30"/>
      <c r="Q31" s="19"/>
      <c r="R31" s="19"/>
      <c r="X31" s="104"/>
      <c r="Z31" s="19"/>
    </row>
    <row r="32" spans="2:33" ht="7.8" customHeight="1" thickBot="1">
      <c r="B32" s="30"/>
      <c r="C32" s="115" t="s">
        <v>90</v>
      </c>
      <c r="D32" s="116"/>
      <c r="E32" s="116"/>
      <c r="F32" s="116"/>
      <c r="G32" s="117"/>
      <c r="H32" s="30"/>
      <c r="I32" s="19"/>
      <c r="J32" s="30"/>
      <c r="K32" s="115" t="s">
        <v>101</v>
      </c>
      <c r="L32" s="116"/>
      <c r="M32" s="116"/>
      <c r="N32" s="116"/>
      <c r="O32" s="117"/>
      <c r="P32" s="30"/>
      <c r="Q32" s="19"/>
      <c r="R32" s="19"/>
      <c r="T32" s="115" t="s">
        <v>93</v>
      </c>
      <c r="U32" s="116"/>
      <c r="V32" s="116"/>
      <c r="W32" s="116"/>
      <c r="X32" s="117"/>
      <c r="AB32" s="115" t="s">
        <v>94</v>
      </c>
      <c r="AC32" s="116"/>
      <c r="AD32" s="116"/>
      <c r="AE32" s="116"/>
      <c r="AF32" s="117"/>
    </row>
    <row r="33" spans="1:33" ht="7.8" customHeight="1" thickBot="1">
      <c r="B33" s="30"/>
      <c r="C33" s="30"/>
      <c r="D33" s="30"/>
      <c r="E33" s="30"/>
      <c r="F33" s="31"/>
      <c r="G33" s="84"/>
      <c r="H33" s="30"/>
      <c r="I33" s="19"/>
      <c r="J33" s="30"/>
      <c r="K33" s="30"/>
      <c r="L33" s="30"/>
      <c r="M33" s="30"/>
      <c r="N33" s="31"/>
      <c r="O33" s="99"/>
      <c r="P33" s="30"/>
      <c r="Q33" s="19"/>
      <c r="R33" s="19"/>
      <c r="S33" s="30"/>
      <c r="T33" s="30"/>
      <c r="U33" s="30"/>
      <c r="V33" s="30"/>
      <c r="W33" s="31"/>
      <c r="X33" s="99"/>
      <c r="Y33" s="30"/>
      <c r="Z33" s="19"/>
      <c r="AA33" s="30"/>
      <c r="AB33" s="30"/>
      <c r="AC33" s="30"/>
      <c r="AD33" s="30"/>
      <c r="AE33" s="31"/>
      <c r="AF33" s="99"/>
      <c r="AG33" s="30"/>
    </row>
    <row r="34" spans="1:33" ht="7.8" customHeight="1">
      <c r="B34" s="23"/>
      <c r="C34" s="24"/>
      <c r="D34" s="25" t="s">
        <v>6</v>
      </c>
      <c r="E34" s="26">
        <f>((1-E38)*E48*C39/((1-E38)*E48+C39))+E38*E48</f>
        <v>150</v>
      </c>
      <c r="F34" s="132"/>
      <c r="G34" s="132"/>
      <c r="H34" s="133"/>
      <c r="J34" s="23"/>
      <c r="K34" s="24"/>
      <c r="L34" s="25" t="s">
        <v>6</v>
      </c>
      <c r="M34" s="26">
        <f>((1-M38)*M48*K39/((1-M38)*M48+K39))+M38*M48</f>
        <v>349.91492981709911</v>
      </c>
      <c r="N34" s="132"/>
      <c r="O34" s="132"/>
      <c r="P34" s="133"/>
      <c r="Z34" s="19"/>
      <c r="AA34" s="30"/>
      <c r="AB34" s="30"/>
      <c r="AC34" s="30"/>
      <c r="AD34" s="30"/>
      <c r="AE34" s="31"/>
      <c r="AF34" s="99"/>
      <c r="AG34" s="30"/>
    </row>
    <row r="35" spans="1:33" ht="7.8" customHeight="1">
      <c r="B35" s="29"/>
      <c r="C35" s="30"/>
      <c r="D35" s="31" t="s">
        <v>8</v>
      </c>
      <c r="E35" s="32">
        <f>1/C51+1/E49+1/E47</f>
        <v>8.3333338333333351E-4</v>
      </c>
      <c r="F35" s="130" t="s">
        <v>71</v>
      </c>
      <c r="G35" s="120"/>
      <c r="H35" s="131"/>
      <c r="J35" s="29"/>
      <c r="K35" s="30"/>
      <c r="L35" s="31" t="s">
        <v>8</v>
      </c>
      <c r="M35" s="32">
        <f>1/K51+1/M49+1/M47</f>
        <v>8.3333338333333351E-4</v>
      </c>
      <c r="N35" s="130" t="s">
        <v>71</v>
      </c>
      <c r="O35" s="120"/>
      <c r="P35" s="131"/>
    </row>
    <row r="36" spans="1:33" ht="7.8" customHeight="1">
      <c r="B36" s="29" t="s">
        <v>39</v>
      </c>
      <c r="C36" s="33">
        <v>0.01</v>
      </c>
      <c r="D36" s="31" t="s">
        <v>15</v>
      </c>
      <c r="E36" s="32">
        <f>(C36+1/E34)/(1+E43/E34)</f>
        <v>3.7136066547831248E-3</v>
      </c>
      <c r="F36" s="34" t="s">
        <v>69</v>
      </c>
      <c r="G36" s="35">
        <f>E36/(E36+E35)</f>
        <v>0.81672655096667246</v>
      </c>
      <c r="H36" s="35">
        <f>C59/(C59+C55)</f>
        <v>0.80881454327967106</v>
      </c>
      <c r="J36" s="29" t="s">
        <v>39</v>
      </c>
      <c r="K36" s="33">
        <v>0.01</v>
      </c>
      <c r="L36" s="31" t="s">
        <v>15</v>
      </c>
      <c r="M36" s="32">
        <f>(K36+1/M34)/(1+M43/M34)</f>
        <v>5.1529863303488316E-3</v>
      </c>
      <c r="N36" s="34" t="s">
        <v>69</v>
      </c>
      <c r="O36" s="35">
        <f>M36/(M36+M35)</f>
        <v>0.86079370578409142</v>
      </c>
      <c r="P36" s="35">
        <f>K59/(K59+K55)</f>
        <v>0.86077105802128728</v>
      </c>
      <c r="T36" s="107"/>
      <c r="W36" s="92"/>
    </row>
    <row r="37" spans="1:33" ht="7.8" customHeight="1">
      <c r="B37" s="29" t="s">
        <v>37</v>
      </c>
      <c r="C37" s="33">
        <v>15000</v>
      </c>
      <c r="D37" s="31" t="s">
        <v>7</v>
      </c>
      <c r="E37" s="32">
        <f>E39*(1-E39)*E47+C39</f>
        <v>5000001000</v>
      </c>
      <c r="F37" s="38" t="s">
        <v>12</v>
      </c>
      <c r="G37" s="105">
        <f>-C49*G36</f>
        <v>-3.9202874446400275</v>
      </c>
      <c r="H37" s="105">
        <f>-C49*H36</f>
        <v>-3.8823098077424207</v>
      </c>
      <c r="J37" s="29" t="s">
        <v>37</v>
      </c>
      <c r="K37" s="33">
        <v>15000</v>
      </c>
      <c r="L37" s="31" t="s">
        <v>7</v>
      </c>
      <c r="M37" s="32">
        <f>M39*(1-M39)*M47+K39</f>
        <v>5000470000</v>
      </c>
      <c r="N37" s="38" t="s">
        <v>12</v>
      </c>
      <c r="O37" s="105">
        <f>-K49*O36</f>
        <v>-4.1318097877636388</v>
      </c>
      <c r="P37" s="105">
        <f>-K49*P36</f>
        <v>-4.1317010785021786</v>
      </c>
    </row>
    <row r="38" spans="1:33" ht="7.8" customHeight="1">
      <c r="B38" s="29" t="s">
        <v>3</v>
      </c>
      <c r="C38" s="37">
        <v>1500</v>
      </c>
      <c r="D38" s="31" t="s">
        <v>2</v>
      </c>
      <c r="E38" s="40">
        <f>C47/(C47+C46)</f>
        <v>1</v>
      </c>
      <c r="F38" s="41" t="s">
        <v>13</v>
      </c>
      <c r="G38" s="105">
        <f>E49*(E36+E35)</f>
        <v>6.2003727792497152</v>
      </c>
      <c r="H38" s="105">
        <f>1/((C59/C57)*C55/(C55+C59))</f>
        <v>5.9437769171310801</v>
      </c>
      <c r="J38" s="29" t="s">
        <v>3</v>
      </c>
      <c r="K38" s="37">
        <v>1500</v>
      </c>
      <c r="L38" s="31" t="s">
        <v>2</v>
      </c>
      <c r="M38" s="40">
        <f>K47/(K47+K46)</f>
        <v>0.42857142857142855</v>
      </c>
      <c r="N38" s="41" t="s">
        <v>13</v>
      </c>
      <c r="O38" s="105">
        <f>M49*(M36+M35)</f>
        <v>8.1631632459302246</v>
      </c>
      <c r="P38" s="105">
        <f>1/((K59/K57)*K55/(K55+K59))</f>
        <v>8.1618353798824224</v>
      </c>
    </row>
    <row r="39" spans="1:33" ht="7.8" customHeight="1">
      <c r="B39" s="29" t="s">
        <v>5</v>
      </c>
      <c r="C39" s="37">
        <v>1000</v>
      </c>
      <c r="D39" s="31" t="s">
        <v>1</v>
      </c>
      <c r="E39" s="40">
        <f>C41/(C41+C40)</f>
        <v>0.5</v>
      </c>
      <c r="F39" s="41" t="s">
        <v>14</v>
      </c>
      <c r="G39" s="106">
        <f>1/(E36+E35-1/C51)</f>
        <v>224.87373147121613</v>
      </c>
      <c r="H39" s="106">
        <f>1/(1/C55+1/C59-1/C51)</f>
        <v>234.8095955478754</v>
      </c>
      <c r="J39" s="29" t="s">
        <v>5</v>
      </c>
      <c r="K39" s="37">
        <v>470000</v>
      </c>
      <c r="L39" s="31" t="s">
        <v>1</v>
      </c>
      <c r="M39" s="40">
        <f>K41/(K41+K40)</f>
        <v>0.5</v>
      </c>
      <c r="N39" s="41" t="s">
        <v>14</v>
      </c>
      <c r="O39" s="106">
        <f>1/(M36+M35-1/K51)</f>
        <v>169.88543752993903</v>
      </c>
      <c r="P39" s="106">
        <f>1/(1/K55+1/K59-1/K51)</f>
        <v>169.91354617099105</v>
      </c>
    </row>
    <row r="40" spans="1:33" ht="7.8" customHeight="1">
      <c r="B40" s="29" t="s">
        <v>32</v>
      </c>
      <c r="C40" s="46">
        <v>10000000000</v>
      </c>
      <c r="D40" s="31" t="s">
        <v>9</v>
      </c>
      <c r="E40" s="32">
        <f>1+E39*E43/E37</f>
        <v>1.0000000523199895</v>
      </c>
      <c r="F40" s="44" t="s">
        <v>79</v>
      </c>
      <c r="G40" s="74">
        <f>E42</f>
        <v>2307.692147929004</v>
      </c>
      <c r="H40" s="74">
        <f>E44</f>
        <v>2468.9439268595079</v>
      </c>
      <c r="J40" s="29" t="s">
        <v>32</v>
      </c>
      <c r="K40" s="46">
        <v>10000000000</v>
      </c>
      <c r="L40" s="31" t="s">
        <v>9</v>
      </c>
      <c r="M40" s="32">
        <f>1+M39*M43/M37</f>
        <v>1.0000000523150825</v>
      </c>
      <c r="N40" s="44" t="s">
        <v>79</v>
      </c>
      <c r="O40" s="74">
        <f>M42</f>
        <v>1719.8486716122507</v>
      </c>
      <c r="P40" s="74">
        <f>M44</f>
        <v>1720.0623336327344</v>
      </c>
      <c r="AE40" s="31"/>
    </row>
    <row r="41" spans="1:33" ht="7.8" customHeight="1">
      <c r="B41" s="29" t="s">
        <v>33</v>
      </c>
      <c r="C41" s="46">
        <v>10000000000</v>
      </c>
      <c r="D41" s="31"/>
      <c r="E41" s="32"/>
      <c r="F41" s="47" t="s">
        <v>77</v>
      </c>
      <c r="G41" s="106">
        <f>(C36*E34+1)/E35+E34</f>
        <v>3149.99982000001</v>
      </c>
      <c r="H41" s="106">
        <f>C59+(C59*C36*C58)+C58</f>
        <v>2895.6520080000096</v>
      </c>
      <c r="J41" s="29" t="s">
        <v>33</v>
      </c>
      <c r="K41" s="46">
        <v>10000000000</v>
      </c>
      <c r="L41" s="31"/>
      <c r="M41" s="32"/>
      <c r="N41" s="47" t="s">
        <v>77</v>
      </c>
      <c r="O41" s="106">
        <f>(K36*M34+1)/M35+M34</f>
        <v>5748.8937636835572</v>
      </c>
      <c r="P41" s="106">
        <f>K59+(K59*K36*K58)+K58</f>
        <v>5746.6138996381605</v>
      </c>
    </row>
    <row r="42" spans="1:33" ht="7.8" customHeight="1">
      <c r="B42" s="29"/>
      <c r="C42" s="30"/>
      <c r="D42" s="49" t="s">
        <v>78</v>
      </c>
      <c r="E42" s="32">
        <f>1/(1/(C40+C41)+1/C51+1/C38-(1/G36-1)/(C56+C47+C39*C46/(C46+C39)))</f>
        <v>2307.692147929004</v>
      </c>
      <c r="F42" s="50"/>
      <c r="G42" s="83"/>
      <c r="H42" s="51"/>
      <c r="J42" s="29"/>
      <c r="K42" s="30"/>
      <c r="L42" s="49" t="s">
        <v>78</v>
      </c>
      <c r="M42" s="32">
        <f>1/(1/(K40+K41)+1/K51+1/K38-(1/O36-1)/(K56+K47+K39*K46/(K46+K39)))</f>
        <v>1719.8486716122507</v>
      </c>
      <c r="N42" s="50"/>
      <c r="O42" s="83"/>
      <c r="P42" s="51"/>
      <c r="AB42" s="30"/>
      <c r="AC42" s="30"/>
      <c r="AD42" s="30"/>
      <c r="AE42" s="82"/>
    </row>
    <row r="43" spans="1:33" ht="7.8" customHeight="1">
      <c r="A43" s="31"/>
      <c r="B43" s="29"/>
      <c r="C43" s="30"/>
      <c r="D43" s="31" t="s">
        <v>10</v>
      </c>
      <c r="E43" s="32">
        <f>(1+C49)*C48+C50</f>
        <v>523.20000000000005</v>
      </c>
      <c r="F43" s="31"/>
      <c r="G43" s="95" t="s">
        <v>46</v>
      </c>
      <c r="H43" s="52" t="s">
        <v>45</v>
      </c>
      <c r="J43" s="29"/>
      <c r="K43" s="30"/>
      <c r="L43" s="31" t="s">
        <v>10</v>
      </c>
      <c r="M43" s="32">
        <f>(1+K49)*K48+K50</f>
        <v>523.20000000000005</v>
      </c>
      <c r="N43" s="31"/>
      <c r="O43" s="95" t="s">
        <v>46</v>
      </c>
      <c r="P43" s="52" t="s">
        <v>45</v>
      </c>
    </row>
    <row r="44" spans="1:33" ht="7.8" customHeight="1">
      <c r="A44" s="31"/>
      <c r="B44" s="29"/>
      <c r="C44" s="30"/>
      <c r="D44" s="49" t="s">
        <v>85</v>
      </c>
      <c r="E44" s="32">
        <f>(1+C58*C36)/(C58*C36*(1/C59-1/C37)-1/C37)</f>
        <v>2468.9439268595079</v>
      </c>
      <c r="F44" s="31"/>
      <c r="G44" s="99"/>
      <c r="H44" s="55"/>
      <c r="J44" s="29"/>
      <c r="K44" s="30"/>
      <c r="L44" s="49" t="s">
        <v>85</v>
      </c>
      <c r="M44" s="32">
        <f>(1+K58*K36)/(K58*K36*(1/K59-1/K37)-1/K37)</f>
        <v>1720.0623336327344</v>
      </c>
      <c r="N44" s="31"/>
      <c r="O44" s="99"/>
      <c r="P44" s="55"/>
    </row>
    <row r="45" spans="1:33" ht="7.8" customHeight="1">
      <c r="A45" s="31"/>
      <c r="B45" s="29"/>
      <c r="C45" s="30"/>
      <c r="D45" s="31" t="s">
        <v>16</v>
      </c>
      <c r="E45" s="32">
        <f>(C36+1/E48+(1-E39)/E37)/(1+E43*(1/E48+1/E37))</f>
        <v>3.7136065904801534E-3</v>
      </c>
      <c r="F45" s="124" t="s">
        <v>88</v>
      </c>
      <c r="G45" s="125"/>
      <c r="H45" s="126"/>
      <c r="J45" s="29"/>
      <c r="K45" s="30"/>
      <c r="L45" s="31" t="s">
        <v>16</v>
      </c>
      <c r="M45" s="32">
        <f>(K36+1/M48+(1-M39)/M37)/(1+M43*(1/M48+1/M37))</f>
        <v>5.1534583672402552E-3</v>
      </c>
      <c r="N45" s="124" t="s">
        <v>88</v>
      </c>
      <c r="O45" s="125"/>
      <c r="P45" s="126"/>
    </row>
    <row r="46" spans="1:33" ht="7.8" customHeight="1">
      <c r="A46" s="31"/>
      <c r="B46" s="29" t="s">
        <v>30</v>
      </c>
      <c r="C46" s="33">
        <v>0</v>
      </c>
      <c r="D46" s="31" t="s">
        <v>11</v>
      </c>
      <c r="E46" s="32">
        <f>1/E49+C39/(E47*E37)+1/C51</f>
        <v>8.3333333333334347E-4</v>
      </c>
      <c r="F46" s="34" t="s">
        <v>69</v>
      </c>
      <c r="G46" s="100" t="s">
        <v>76</v>
      </c>
      <c r="H46" s="79" t="s">
        <v>76</v>
      </c>
      <c r="J46" s="29" t="s">
        <v>30</v>
      </c>
      <c r="K46" s="33">
        <v>200</v>
      </c>
      <c r="L46" s="31" t="s">
        <v>11</v>
      </c>
      <c r="M46" s="32">
        <f>1/M49+K39/(M47*M37)+1/K51</f>
        <v>8.3333333333803308E-4</v>
      </c>
      <c r="N46" s="34" t="s">
        <v>69</v>
      </c>
      <c r="O46" s="100" t="s">
        <v>76</v>
      </c>
      <c r="P46" s="79" t="s">
        <v>76</v>
      </c>
    </row>
    <row r="47" spans="1:33" ht="7.8" customHeight="1">
      <c r="A47" s="31"/>
      <c r="B47" s="29" t="s">
        <v>31</v>
      </c>
      <c r="C47" s="33">
        <v>150</v>
      </c>
      <c r="D47" s="31" t="s">
        <v>60</v>
      </c>
      <c r="E47" s="40">
        <f>C40+C41</f>
        <v>20000000000</v>
      </c>
      <c r="F47" s="57" t="s">
        <v>12</v>
      </c>
      <c r="G47" s="100" t="s">
        <v>76</v>
      </c>
      <c r="H47" s="79" t="s">
        <v>76</v>
      </c>
      <c r="J47" s="29" t="s">
        <v>31</v>
      </c>
      <c r="K47" s="33">
        <v>150</v>
      </c>
      <c r="L47" s="31" t="s">
        <v>60</v>
      </c>
      <c r="M47" s="40">
        <f>K40+K41</f>
        <v>20000000000</v>
      </c>
      <c r="N47" s="57" t="s">
        <v>12</v>
      </c>
      <c r="O47" s="100" t="s">
        <v>76</v>
      </c>
      <c r="P47" s="79" t="s">
        <v>76</v>
      </c>
    </row>
    <row r="48" spans="1:33" ht="7.8" customHeight="1">
      <c r="A48" s="31"/>
      <c r="B48" s="85" t="s">
        <v>34</v>
      </c>
      <c r="C48" s="37">
        <v>24</v>
      </c>
      <c r="D48" s="31" t="s">
        <v>0</v>
      </c>
      <c r="E48" s="40">
        <f>C46+C47</f>
        <v>150</v>
      </c>
      <c r="F48" s="59" t="s">
        <v>13</v>
      </c>
      <c r="G48" s="100" t="s">
        <v>76</v>
      </c>
      <c r="H48" s="79" t="s">
        <v>76</v>
      </c>
      <c r="J48" s="29" t="s">
        <v>34</v>
      </c>
      <c r="K48" s="37">
        <v>24</v>
      </c>
      <c r="L48" s="31" t="s">
        <v>0</v>
      </c>
      <c r="M48" s="40">
        <f>K46+K47</f>
        <v>350</v>
      </c>
      <c r="N48" s="59" t="s">
        <v>13</v>
      </c>
      <c r="O48" s="100" t="s">
        <v>76</v>
      </c>
      <c r="P48" s="79" t="s">
        <v>76</v>
      </c>
    </row>
    <row r="49" spans="1:18" ht="7.8" customHeight="1">
      <c r="A49" s="31"/>
      <c r="B49" s="29" t="s">
        <v>38</v>
      </c>
      <c r="C49" s="33">
        <v>4.8</v>
      </c>
      <c r="D49" s="61" t="s">
        <v>61</v>
      </c>
      <c r="E49" s="62">
        <f>1/(1/C38+1/C37)</f>
        <v>1363.6363636363635</v>
      </c>
      <c r="F49" s="59" t="s">
        <v>14</v>
      </c>
      <c r="G49" s="100" t="s">
        <v>76</v>
      </c>
      <c r="H49" s="79" t="s">
        <v>76</v>
      </c>
      <c r="J49" s="29" t="s">
        <v>38</v>
      </c>
      <c r="K49" s="33">
        <v>4.8</v>
      </c>
      <c r="L49" s="61" t="s">
        <v>61</v>
      </c>
      <c r="M49" s="62">
        <f>1/(1/K38+1/K37)</f>
        <v>1363.6363636363635</v>
      </c>
      <c r="N49" s="59" t="s">
        <v>14</v>
      </c>
      <c r="O49" s="100" t="s">
        <v>76</v>
      </c>
      <c r="P49" s="79" t="s">
        <v>76</v>
      </c>
    </row>
    <row r="50" spans="1:18" ht="7.8" customHeight="1">
      <c r="A50" s="31"/>
      <c r="B50" s="29" t="s">
        <v>35</v>
      </c>
      <c r="C50" s="33">
        <v>384</v>
      </c>
      <c r="D50" s="49" t="s">
        <v>83</v>
      </c>
      <c r="E50" s="63" t="e">
        <f>G46*(1/C51+1/C38)+(G46-E59)/(C46+C47)+(G46-E53)/C41</f>
        <v>#VALUE!</v>
      </c>
      <c r="F50" s="44" t="s">
        <v>79</v>
      </c>
      <c r="G50" s="100" t="s">
        <v>76</v>
      </c>
      <c r="H50" s="79" t="s">
        <v>76</v>
      </c>
      <c r="J50" s="29" t="s">
        <v>35</v>
      </c>
      <c r="K50" s="33">
        <v>384</v>
      </c>
      <c r="L50" s="49" t="s">
        <v>83</v>
      </c>
      <c r="M50" s="63" t="e">
        <f>O46*(1/K51+1/K38)+(O46-M59)/(K46+K47)+(O46-M53)/K41</f>
        <v>#VALUE!</v>
      </c>
      <c r="N50" s="44" t="s">
        <v>79</v>
      </c>
      <c r="O50" s="100" t="s">
        <v>76</v>
      </c>
      <c r="P50" s="79" t="s">
        <v>76</v>
      </c>
    </row>
    <row r="51" spans="1:18" ht="7.8" customHeight="1">
      <c r="A51" s="31"/>
      <c r="B51" s="29" t="s">
        <v>4</v>
      </c>
      <c r="C51" s="37">
        <v>10000</v>
      </c>
      <c r="D51" s="31" t="s">
        <v>62</v>
      </c>
      <c r="E51" s="63">
        <f>1/(1/C37+1/C38+1/C51)</f>
        <v>1200</v>
      </c>
      <c r="F51" s="47" t="s">
        <v>77</v>
      </c>
      <c r="G51" s="101" t="s">
        <v>76</v>
      </c>
      <c r="H51" s="80" t="s">
        <v>76</v>
      </c>
      <c r="J51" s="29" t="s">
        <v>4</v>
      </c>
      <c r="K51" s="37">
        <v>10000</v>
      </c>
      <c r="L51" s="31" t="s">
        <v>62</v>
      </c>
      <c r="M51" s="63">
        <f>1/(1/K37+1/K38+1/K51)</f>
        <v>1200</v>
      </c>
      <c r="N51" s="47" t="s">
        <v>77</v>
      </c>
      <c r="O51" s="101" t="s">
        <v>76</v>
      </c>
      <c r="P51" s="80" t="s">
        <v>76</v>
      </c>
    </row>
    <row r="52" spans="1:18" ht="7.8" customHeight="1">
      <c r="A52" s="31"/>
      <c r="B52" s="29"/>
      <c r="C52" s="30"/>
      <c r="D52" s="64" t="s">
        <v>80</v>
      </c>
      <c r="E52" s="63">
        <f>(C39+C56)*(C46+C47)+C39*C56</f>
        <v>751680</v>
      </c>
      <c r="F52" s="81"/>
      <c r="G52" s="102"/>
      <c r="H52" s="55"/>
      <c r="J52" s="29"/>
      <c r="K52" s="30"/>
      <c r="L52" s="64" t="s">
        <v>80</v>
      </c>
      <c r="M52" s="63">
        <f>(K39+K56)*(K46+K47)+K39*K56</f>
        <v>410587120</v>
      </c>
      <c r="N52" s="81"/>
      <c r="O52" s="102"/>
      <c r="P52" s="55"/>
    </row>
    <row r="53" spans="1:18" ht="7.8" customHeight="1">
      <c r="A53" s="31"/>
      <c r="B53" s="29"/>
      <c r="C53" s="30"/>
      <c r="D53" s="49" t="s">
        <v>81</v>
      </c>
      <c r="E53" s="63" t="e">
        <f>((C56*G46+(C46+C47)*1)/E52+G46/C41)/(1/C40+1/C41+(C56+C46+C47)/E52)</f>
        <v>#VALUE!</v>
      </c>
      <c r="F53" s="118" t="s">
        <v>84</v>
      </c>
      <c r="G53" s="119"/>
      <c r="H53" s="55"/>
      <c r="J53" s="29"/>
      <c r="K53" s="30"/>
      <c r="L53" s="49" t="s">
        <v>81</v>
      </c>
      <c r="M53" s="63" t="e">
        <f>((K56*O46+(K46+K47)*1)/M52+O46/K41)/(1/K40+1/K41+(K56+K46+K47)/M52)</f>
        <v>#VALUE!</v>
      </c>
      <c r="N53" s="118" t="s">
        <v>84</v>
      </c>
      <c r="O53" s="119"/>
      <c r="P53" s="55"/>
    </row>
    <row r="54" spans="1:18" ht="7.8" customHeight="1">
      <c r="A54" s="31"/>
      <c r="B54" s="29"/>
      <c r="D54" s="31" t="s">
        <v>63</v>
      </c>
      <c r="E54" s="69">
        <f>C36+1/(C46+C47)</f>
        <v>1.6666666666666666E-2</v>
      </c>
      <c r="F54" s="70" t="s">
        <v>70</v>
      </c>
      <c r="G54" s="109">
        <v>320</v>
      </c>
      <c r="H54" s="55"/>
      <c r="J54" s="29"/>
      <c r="L54" s="31" t="s">
        <v>63</v>
      </c>
      <c r="M54" s="69">
        <f>K36+1/(K46+K47)</f>
        <v>1.2857142857142857E-2</v>
      </c>
      <c r="N54" s="70" t="s">
        <v>70</v>
      </c>
      <c r="O54" s="109">
        <v>320</v>
      </c>
      <c r="P54" s="55"/>
    </row>
    <row r="55" spans="1:18" ht="7.8" customHeight="1">
      <c r="A55" s="31"/>
      <c r="B55" s="29" t="s">
        <v>44</v>
      </c>
      <c r="C55" s="72">
        <f>(1+C56/C58)/(C36+1/C58)</f>
        <v>283.65283018867927</v>
      </c>
      <c r="D55" s="31" t="s">
        <v>65</v>
      </c>
      <c r="E55" s="69">
        <f>C41/E51+E54*C41+1</f>
        <v>175000001</v>
      </c>
      <c r="F55" s="70" t="s">
        <v>50</v>
      </c>
      <c r="G55" s="109" t="s">
        <v>48</v>
      </c>
      <c r="H55" s="55"/>
      <c r="J55" s="29" t="s">
        <v>44</v>
      </c>
      <c r="K55" s="72">
        <f>(1+K56/K58)/(K36+1/K58)</f>
        <v>194.0989056184556</v>
      </c>
      <c r="L55" s="31" t="s">
        <v>65</v>
      </c>
      <c r="M55" s="69">
        <f>K41/M51+M54*K41+1</f>
        <v>136904762.90476191</v>
      </c>
      <c r="N55" s="70" t="s">
        <v>50</v>
      </c>
      <c r="O55" s="109" t="s">
        <v>48</v>
      </c>
      <c r="P55" s="55"/>
    </row>
    <row r="56" spans="1:18" ht="7.8" customHeight="1">
      <c r="A56" s="31"/>
      <c r="B56" s="73" t="s">
        <v>43</v>
      </c>
      <c r="C56" s="75">
        <f>C50+(1+C49)*C48</f>
        <v>523.20000000000005</v>
      </c>
      <c r="D56" s="31" t="s">
        <v>64</v>
      </c>
      <c r="E56" s="69">
        <f>C41/((C46+C47)*E55*E51)</f>
        <v>3.1746031564625852E-4</v>
      </c>
      <c r="F56" s="70" t="s">
        <v>75</v>
      </c>
      <c r="G56" s="109">
        <v>50</v>
      </c>
      <c r="H56" s="55"/>
      <c r="J56" s="73" t="s">
        <v>43</v>
      </c>
      <c r="K56" s="75">
        <f>K50+(1+K49)*K48</f>
        <v>523.20000000000005</v>
      </c>
      <c r="L56" s="31" t="s">
        <v>64</v>
      </c>
      <c r="M56" s="69">
        <f>K41/((K46+K47)*M55*M51)</f>
        <v>1.739130422079395E-4</v>
      </c>
      <c r="N56" s="70" t="s">
        <v>75</v>
      </c>
      <c r="O56" s="109">
        <v>50</v>
      </c>
      <c r="P56" s="55"/>
    </row>
    <row r="57" spans="1:18" ht="7.8" customHeight="1">
      <c r="A57" s="31"/>
      <c r="B57" s="73" t="s">
        <v>36</v>
      </c>
      <c r="C57" s="74">
        <f>1/(1/C37+1/C38)</f>
        <v>1363.6363636363635</v>
      </c>
      <c r="D57" s="31" t="s">
        <v>66</v>
      </c>
      <c r="E57" s="69">
        <f>1/(E55*E51)+1/C40</f>
        <v>1.0476190473469388E-10</v>
      </c>
      <c r="F57" s="70" t="s">
        <v>51</v>
      </c>
      <c r="G57" s="109" t="s">
        <v>49</v>
      </c>
      <c r="H57" s="55"/>
      <c r="J57" s="73" t="s">
        <v>36</v>
      </c>
      <c r="K57" s="74">
        <f>1/(1/K37+1/K38)</f>
        <v>1363.6363636363635</v>
      </c>
      <c r="L57" s="31" t="s">
        <v>66</v>
      </c>
      <c r="M57" s="69">
        <f>1/(M55*M51)+1/K40</f>
        <v>1.0608695647727788E-10</v>
      </c>
      <c r="N57" s="70" t="s">
        <v>51</v>
      </c>
      <c r="O57" s="109" t="s">
        <v>49</v>
      </c>
      <c r="P57" s="55"/>
    </row>
    <row r="58" spans="1:18" ht="7.8" customHeight="1">
      <c r="A58" s="31"/>
      <c r="B58" s="73" t="s">
        <v>41</v>
      </c>
      <c r="C58" s="74">
        <f>1/(1/C39+1/(C46+C47))</f>
        <v>130.43478260869566</v>
      </c>
      <c r="D58" s="31" t="s">
        <v>67</v>
      </c>
      <c r="E58" s="69">
        <f>E54/E55+1/C39</f>
        <v>1.0000000952380948E-3</v>
      </c>
      <c r="F58" s="70" t="s">
        <v>73</v>
      </c>
      <c r="G58" s="109">
        <v>50</v>
      </c>
      <c r="H58" s="55"/>
      <c r="J58" s="73" t="s">
        <v>41</v>
      </c>
      <c r="K58" s="74">
        <f>1/(1/K39+1/(K46+K47))</f>
        <v>349.73955565004781</v>
      </c>
      <c r="L58" s="31" t="s">
        <v>67</v>
      </c>
      <c r="M58" s="69">
        <f>M54/M55+1/K39</f>
        <v>2.1277534875108775E-6</v>
      </c>
      <c r="N58" s="70" t="s">
        <v>73</v>
      </c>
      <c r="O58" s="109">
        <v>50</v>
      </c>
      <c r="P58" s="55"/>
    </row>
    <row r="59" spans="1:18" ht="7.8" customHeight="1">
      <c r="A59" s="31"/>
      <c r="B59" s="29" t="s">
        <v>42</v>
      </c>
      <c r="C59" s="74">
        <f>1/(1/C37+1/C38+1/(C40+C41)+1/C51)</f>
        <v>1199.9999280000043</v>
      </c>
      <c r="D59" s="49" t="s">
        <v>82</v>
      </c>
      <c r="E59" s="69" t="e">
        <f>C39*(E53/C39+E53/C40+(E53-G46)/C41)</f>
        <v>#VALUE!</v>
      </c>
      <c r="F59" s="70" t="s">
        <v>74</v>
      </c>
      <c r="G59" s="109">
        <v>125</v>
      </c>
      <c r="H59" s="55"/>
      <c r="J59" s="29" t="s">
        <v>42</v>
      </c>
      <c r="K59" s="74">
        <f>1/(1/K37+1/K38+1/(K40+K41)+1/K51)</f>
        <v>1199.9999280000043</v>
      </c>
      <c r="L59" s="49" t="s">
        <v>82</v>
      </c>
      <c r="M59" s="69" t="e">
        <f>K39*(M53/K39+M53/K40+(M53-O46)/K41)</f>
        <v>#VALUE!</v>
      </c>
      <c r="N59" s="70" t="s">
        <v>74</v>
      </c>
      <c r="O59" s="109">
        <v>115</v>
      </c>
      <c r="P59" s="55"/>
    </row>
    <row r="60" spans="1:18" ht="7.8" customHeight="1">
      <c r="A60" s="31"/>
      <c r="B60" s="29" t="s">
        <v>89</v>
      </c>
      <c r="C60" s="72">
        <f>C56/(C46+C47)</f>
        <v>3.4880000000000004</v>
      </c>
      <c r="D60" s="31" t="s">
        <v>68</v>
      </c>
      <c r="E60" s="69">
        <f>1/((C46+C47)*E55)+1/C39</f>
        <v>1.0000000380952379E-3</v>
      </c>
      <c r="F60" s="76" t="s">
        <v>53</v>
      </c>
      <c r="G60" s="97"/>
      <c r="H60" s="55"/>
      <c r="J60" s="29" t="s">
        <v>89</v>
      </c>
      <c r="K60" s="72">
        <f>K56/(K46+K47)</f>
        <v>1.4948571428571429</v>
      </c>
      <c r="L60" s="31" t="s">
        <v>68</v>
      </c>
      <c r="M60" s="69">
        <f>1/((K46+K47)*M55)+1/K39</f>
        <v>2.1276804440331501E-6</v>
      </c>
      <c r="N60" s="76" t="s">
        <v>53</v>
      </c>
      <c r="O60" s="97"/>
      <c r="P60" s="55"/>
    </row>
    <row r="61" spans="1:18" ht="7.8" customHeight="1" thickBot="1">
      <c r="A61" s="31"/>
      <c r="B61" s="77"/>
      <c r="C61" s="22"/>
      <c r="D61" s="22"/>
      <c r="E61" s="22"/>
      <c r="F61" s="21"/>
      <c r="G61" s="94"/>
      <c r="H61" s="78"/>
      <c r="J61" s="77"/>
      <c r="K61" s="22"/>
      <c r="L61" s="22"/>
      <c r="M61" s="22"/>
      <c r="N61" s="21"/>
      <c r="O61" s="94"/>
      <c r="P61" s="78"/>
      <c r="Q61" s="19"/>
      <c r="R61" s="19"/>
    </row>
    <row r="62" spans="1:18" ht="7.8" customHeight="1" thickBot="1">
      <c r="A62" s="31"/>
      <c r="B62" s="30"/>
      <c r="C62" s="30"/>
      <c r="D62" s="30"/>
      <c r="E62" s="30"/>
      <c r="F62" s="31"/>
      <c r="G62" s="99"/>
      <c r="H62" s="30"/>
      <c r="J62" s="30"/>
      <c r="K62" s="30"/>
      <c r="L62" s="30"/>
      <c r="M62" s="30"/>
      <c r="N62" s="31"/>
      <c r="O62" s="99"/>
      <c r="P62" s="30"/>
    </row>
    <row r="63" spans="1:18" ht="7.8" customHeight="1" thickBot="1">
      <c r="A63" s="31"/>
      <c r="B63" s="30"/>
      <c r="C63" s="115" t="s">
        <v>95</v>
      </c>
      <c r="D63" s="116"/>
      <c r="E63" s="116"/>
      <c r="F63" s="116"/>
      <c r="G63" s="117"/>
      <c r="H63" s="30"/>
      <c r="J63" s="127" t="s">
        <v>96</v>
      </c>
      <c r="K63" s="128"/>
      <c r="L63" s="128"/>
      <c r="M63" s="128"/>
      <c r="N63" s="128"/>
      <c r="O63" s="128"/>
      <c r="P63" s="129"/>
    </row>
    <row r="64" spans="1:18" ht="7.8" customHeight="1">
      <c r="A64" s="31"/>
    </row>
    <row r="65" spans="1:35" ht="7.8" customHeight="1">
      <c r="A65" s="31"/>
    </row>
    <row r="66" spans="1:35" ht="7.8" customHeight="1">
      <c r="A66" s="31"/>
    </row>
    <row r="67" spans="1:35" ht="7.8" customHeight="1">
      <c r="A67" s="31"/>
    </row>
    <row r="68" spans="1:35" ht="7.8" customHeight="1">
      <c r="A68" s="31"/>
    </row>
    <row r="69" spans="1:35" ht="7.8" customHeight="1">
      <c r="A69" s="31"/>
    </row>
    <row r="70" spans="1:35" ht="7.8" customHeight="1">
      <c r="A70" s="31"/>
    </row>
    <row r="71" spans="1:35" ht="7.8" customHeight="1">
      <c r="A71" s="31"/>
    </row>
    <row r="77" spans="1:35" ht="7.8" customHeight="1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P77" s="103"/>
      <c r="Q77" s="103"/>
      <c r="R77" s="103"/>
      <c r="S77" s="103"/>
      <c r="T77" s="103"/>
      <c r="U77" s="103"/>
      <c r="V77" s="103"/>
      <c r="W77" s="103"/>
      <c r="Y77" s="103"/>
      <c r="Z77" s="103"/>
      <c r="AA77" s="103"/>
      <c r="AB77" s="103"/>
      <c r="AC77" s="103"/>
      <c r="AD77" s="103"/>
      <c r="AE77" s="103"/>
      <c r="AG77" s="103"/>
      <c r="AH77" s="103"/>
      <c r="AI77" s="103"/>
    </row>
    <row r="78" spans="1:35" ht="7.8" customHeight="1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P78" s="103"/>
      <c r="Q78" s="103"/>
      <c r="R78" s="103"/>
      <c r="S78" s="103"/>
      <c r="T78" s="103"/>
      <c r="U78" s="103"/>
      <c r="V78" s="103"/>
      <c r="W78" s="103"/>
      <c r="Y78" s="103"/>
      <c r="Z78" s="103"/>
      <c r="AA78" s="103"/>
      <c r="AB78" s="103"/>
      <c r="AC78" s="103"/>
      <c r="AD78" s="103"/>
      <c r="AE78" s="103"/>
      <c r="AG78" s="103"/>
      <c r="AH78" s="103"/>
      <c r="AI78" s="103"/>
    </row>
    <row r="79" spans="1:35" ht="7.8" customHeight="1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P79" s="103"/>
      <c r="Q79" s="103"/>
      <c r="R79" s="103"/>
      <c r="S79" s="103"/>
      <c r="T79" s="103"/>
      <c r="U79" s="103"/>
      <c r="V79" s="103"/>
      <c r="W79" s="103"/>
      <c r="Y79" s="103"/>
      <c r="Z79" s="103"/>
      <c r="AA79" s="103"/>
      <c r="AB79" s="103"/>
      <c r="AC79" s="103"/>
      <c r="AD79" s="103"/>
      <c r="AE79" s="103"/>
      <c r="AG79" s="103"/>
      <c r="AH79" s="103"/>
      <c r="AI79" s="103"/>
    </row>
    <row r="80" spans="1:35" ht="7.8" customHeight="1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P80" s="103"/>
      <c r="Q80" s="103"/>
      <c r="R80" s="103"/>
      <c r="S80" s="103"/>
      <c r="T80" s="103"/>
      <c r="U80" s="103"/>
      <c r="V80" s="103"/>
      <c r="W80" s="103"/>
      <c r="Y80" s="103"/>
      <c r="Z80" s="103"/>
      <c r="AA80" s="103"/>
      <c r="AB80" s="103"/>
      <c r="AC80" s="103"/>
      <c r="AD80" s="103"/>
      <c r="AE80" s="103"/>
      <c r="AG80" s="103"/>
      <c r="AH80" s="103"/>
      <c r="AI80" s="103"/>
    </row>
    <row r="81" spans="1:35" ht="7.8" customHeight="1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P81" s="103"/>
      <c r="Q81" s="103"/>
      <c r="R81" s="103"/>
      <c r="S81" s="103"/>
      <c r="T81" s="103"/>
      <c r="U81" s="103"/>
      <c r="V81" s="103"/>
      <c r="W81" s="103"/>
      <c r="Y81" s="103"/>
      <c r="Z81" s="103"/>
      <c r="AA81" s="103"/>
      <c r="AB81" s="103"/>
      <c r="AC81" s="103"/>
      <c r="AD81" s="103"/>
      <c r="AE81" s="103"/>
      <c r="AG81" s="103"/>
      <c r="AH81" s="103"/>
      <c r="AI81" s="103"/>
    </row>
    <row r="82" spans="1:35" ht="7.8" customHeight="1">
      <c r="A82" s="103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P82" s="103"/>
      <c r="Q82" s="103"/>
      <c r="R82" s="103"/>
      <c r="S82" s="103"/>
      <c r="T82" s="103"/>
      <c r="U82" s="103"/>
      <c r="V82" s="103"/>
      <c r="W82" s="103"/>
      <c r="Y82" s="103"/>
      <c r="Z82" s="103"/>
      <c r="AA82" s="103"/>
      <c r="AB82" s="103"/>
      <c r="AC82" s="103"/>
      <c r="AD82" s="103"/>
      <c r="AE82" s="103"/>
      <c r="AG82" s="103"/>
      <c r="AH82" s="103"/>
      <c r="AI82" s="103"/>
    </row>
    <row r="83" spans="1:35" ht="7.8" customHeight="1">
      <c r="A83" s="103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P83" s="103"/>
      <c r="Q83" s="103"/>
      <c r="R83" s="103"/>
      <c r="S83" s="103"/>
      <c r="T83" s="103"/>
      <c r="U83" s="103"/>
      <c r="V83" s="103"/>
      <c r="W83" s="103"/>
      <c r="Y83" s="103"/>
      <c r="Z83" s="103"/>
      <c r="AA83" s="103"/>
      <c r="AB83" s="103"/>
      <c r="AC83" s="103"/>
      <c r="AD83" s="103"/>
      <c r="AE83" s="103"/>
      <c r="AG83" s="103"/>
      <c r="AH83" s="103"/>
      <c r="AI83" s="103"/>
    </row>
    <row r="84" spans="1:35" ht="7.8" customHeight="1">
      <c r="A84" s="103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P84" s="103"/>
      <c r="Q84" s="103"/>
      <c r="R84" s="103"/>
      <c r="S84" s="103"/>
      <c r="T84" s="103"/>
      <c r="U84" s="103"/>
      <c r="V84" s="103"/>
      <c r="W84" s="103"/>
      <c r="Y84" s="103"/>
      <c r="Z84" s="103"/>
      <c r="AA84" s="103"/>
      <c r="AB84" s="103"/>
      <c r="AC84" s="103"/>
      <c r="AD84" s="103"/>
      <c r="AE84" s="103"/>
      <c r="AG84" s="103"/>
      <c r="AH84" s="103"/>
      <c r="AI84" s="103"/>
    </row>
    <row r="85" spans="1:35" ht="7.8" customHeight="1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P85" s="103"/>
      <c r="Q85" s="103"/>
      <c r="R85" s="103"/>
      <c r="S85" s="103"/>
      <c r="T85" s="103"/>
      <c r="U85" s="103"/>
      <c r="V85" s="103"/>
      <c r="W85" s="103"/>
      <c r="Y85" s="103"/>
      <c r="Z85" s="103"/>
      <c r="AA85" s="103"/>
      <c r="AB85" s="103"/>
      <c r="AC85" s="103"/>
      <c r="AD85" s="103"/>
      <c r="AE85" s="103"/>
      <c r="AG85" s="103"/>
      <c r="AH85" s="103"/>
      <c r="AI85" s="103"/>
    </row>
    <row r="86" spans="1:35" ht="7.8" customHeight="1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P86" s="103"/>
      <c r="Q86" s="103"/>
      <c r="R86" s="103"/>
      <c r="S86" s="103"/>
      <c r="T86" s="103"/>
      <c r="U86" s="103"/>
      <c r="V86" s="103"/>
      <c r="W86" s="103"/>
      <c r="Y86" s="103"/>
      <c r="Z86" s="103"/>
      <c r="AA86" s="103"/>
      <c r="AB86" s="103"/>
      <c r="AC86" s="103"/>
      <c r="AD86" s="103"/>
      <c r="AE86" s="103"/>
      <c r="AG86" s="103"/>
      <c r="AH86" s="103"/>
      <c r="AI86" s="103"/>
    </row>
    <row r="87" spans="1:35" ht="7.8" customHeight="1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P87" s="103"/>
      <c r="Q87" s="103"/>
      <c r="R87" s="103"/>
      <c r="S87" s="103"/>
      <c r="T87" s="103"/>
      <c r="U87" s="103"/>
      <c r="V87" s="103"/>
      <c r="W87" s="103"/>
      <c r="Y87" s="103"/>
      <c r="Z87" s="103"/>
      <c r="AA87" s="103"/>
      <c r="AB87" s="103"/>
      <c r="AC87" s="103"/>
      <c r="AD87" s="103"/>
      <c r="AE87" s="103"/>
      <c r="AG87" s="103"/>
      <c r="AH87" s="103"/>
      <c r="AI87" s="103"/>
    </row>
    <row r="88" spans="1:35" ht="7.8" customHeight="1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P88" s="103"/>
      <c r="Q88" s="103"/>
      <c r="R88" s="103"/>
      <c r="S88" s="103"/>
      <c r="T88" s="103"/>
      <c r="U88" s="103"/>
      <c r="V88" s="103"/>
      <c r="W88" s="103"/>
      <c r="Y88" s="103"/>
      <c r="Z88" s="103"/>
      <c r="AA88" s="103"/>
      <c r="AB88" s="103"/>
      <c r="AC88" s="103"/>
      <c r="AD88" s="103"/>
      <c r="AE88" s="103"/>
      <c r="AG88" s="103"/>
      <c r="AH88" s="103"/>
      <c r="AI88" s="103"/>
    </row>
    <row r="89" spans="1:35" ht="7.8" customHeight="1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P89" s="103"/>
      <c r="Q89" s="103"/>
      <c r="R89" s="103"/>
      <c r="S89" s="103"/>
      <c r="T89" s="103"/>
      <c r="U89" s="103"/>
      <c r="V89" s="103"/>
      <c r="W89" s="103"/>
      <c r="Y89" s="103"/>
      <c r="Z89" s="103"/>
      <c r="AA89" s="103"/>
      <c r="AB89" s="103"/>
      <c r="AC89" s="103"/>
      <c r="AD89" s="103"/>
      <c r="AE89" s="103"/>
      <c r="AG89" s="103"/>
      <c r="AH89" s="103"/>
      <c r="AI89" s="103"/>
    </row>
    <row r="90" spans="1:35" ht="7.8" customHeight="1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P90" s="103"/>
      <c r="Q90" s="103"/>
      <c r="R90" s="103"/>
      <c r="S90" s="103"/>
      <c r="T90" s="103"/>
      <c r="U90" s="103"/>
      <c r="V90" s="103"/>
      <c r="W90" s="103"/>
      <c r="Y90" s="103"/>
      <c r="Z90" s="103"/>
      <c r="AA90" s="103"/>
      <c r="AB90" s="103"/>
      <c r="AC90" s="103"/>
      <c r="AD90" s="103"/>
      <c r="AE90" s="103"/>
      <c r="AG90" s="103"/>
      <c r="AH90" s="103"/>
      <c r="AI90" s="103"/>
    </row>
    <row r="91" spans="1:35" ht="7.8" customHeight="1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P91" s="103"/>
      <c r="Q91" s="103"/>
      <c r="R91" s="103"/>
      <c r="S91" s="103"/>
      <c r="T91" s="103"/>
      <c r="U91" s="103"/>
      <c r="V91" s="103"/>
      <c r="W91" s="103"/>
      <c r="Y91" s="103"/>
      <c r="Z91" s="103"/>
      <c r="AA91" s="103"/>
      <c r="AB91" s="103"/>
      <c r="AC91" s="103"/>
      <c r="AD91" s="103"/>
      <c r="AE91" s="103"/>
      <c r="AG91" s="103"/>
      <c r="AH91" s="103"/>
      <c r="AI91" s="103"/>
    </row>
    <row r="92" spans="1:35" ht="7.8" customHeight="1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P92" s="103"/>
      <c r="Q92" s="103"/>
      <c r="R92" s="103"/>
      <c r="S92" s="103"/>
      <c r="T92" s="103"/>
      <c r="U92" s="103"/>
      <c r="V92" s="103"/>
      <c r="W92" s="103"/>
      <c r="Y92" s="103"/>
      <c r="Z92" s="103"/>
      <c r="AA92" s="103"/>
      <c r="AB92" s="103"/>
      <c r="AC92" s="103"/>
      <c r="AD92" s="103"/>
      <c r="AE92" s="103"/>
      <c r="AG92" s="103"/>
      <c r="AH92" s="103"/>
      <c r="AI92" s="103"/>
    </row>
    <row r="93" spans="1:35" ht="7.8" customHeight="1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P93" s="103"/>
      <c r="Q93" s="103"/>
      <c r="R93" s="103"/>
      <c r="S93" s="103"/>
      <c r="T93" s="103"/>
      <c r="U93" s="103"/>
      <c r="V93" s="103"/>
      <c r="W93" s="103"/>
      <c r="Y93" s="103"/>
      <c r="Z93" s="103"/>
      <c r="AA93" s="103"/>
      <c r="AB93" s="103"/>
      <c r="AC93" s="103"/>
      <c r="AD93" s="103"/>
      <c r="AE93" s="103"/>
      <c r="AG93" s="103"/>
      <c r="AH93" s="103"/>
      <c r="AI93" s="103"/>
    </row>
    <row r="94" spans="1:35" ht="7.8" customHeight="1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P94" s="103"/>
      <c r="Q94" s="103"/>
      <c r="R94" s="103"/>
      <c r="S94" s="103"/>
      <c r="T94" s="103"/>
      <c r="U94" s="103"/>
      <c r="V94" s="103"/>
      <c r="W94" s="103"/>
      <c r="Y94" s="103"/>
      <c r="Z94" s="103"/>
      <c r="AA94" s="103"/>
      <c r="AB94" s="103"/>
      <c r="AC94" s="103"/>
      <c r="AD94" s="103"/>
      <c r="AE94" s="103"/>
      <c r="AG94" s="103"/>
      <c r="AH94" s="103"/>
      <c r="AI94" s="103"/>
    </row>
    <row r="95" spans="1:35" ht="7.8" customHeight="1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P95" s="103"/>
      <c r="Q95" s="103"/>
      <c r="R95" s="103"/>
      <c r="S95" s="103"/>
      <c r="T95" s="103"/>
      <c r="U95" s="103"/>
      <c r="V95" s="103"/>
      <c r="W95" s="103"/>
      <c r="Y95" s="103"/>
      <c r="Z95" s="103"/>
      <c r="AA95" s="103"/>
      <c r="AB95" s="103"/>
      <c r="AC95" s="103"/>
      <c r="AD95" s="103"/>
      <c r="AE95" s="103"/>
      <c r="AG95" s="103"/>
      <c r="AH95" s="103"/>
      <c r="AI95" s="103"/>
    </row>
    <row r="96" spans="1:35" ht="7.8" customHeight="1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P96" s="103"/>
      <c r="Q96" s="103"/>
      <c r="R96" s="103"/>
      <c r="S96" s="103"/>
      <c r="T96" s="103"/>
      <c r="U96" s="103"/>
      <c r="V96" s="103"/>
      <c r="W96" s="103"/>
      <c r="Y96" s="103"/>
      <c r="Z96" s="103"/>
      <c r="AA96" s="103"/>
      <c r="AB96" s="103"/>
      <c r="AC96" s="103"/>
      <c r="AD96" s="103"/>
      <c r="AE96" s="103"/>
      <c r="AG96" s="103"/>
      <c r="AH96" s="103"/>
      <c r="AI96" s="103"/>
    </row>
    <row r="97" spans="1:35" ht="7.8" customHeight="1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P97" s="103"/>
      <c r="Q97" s="103"/>
      <c r="R97" s="103"/>
      <c r="S97" s="103"/>
      <c r="T97" s="103"/>
      <c r="U97" s="103"/>
      <c r="V97" s="103"/>
      <c r="W97" s="103"/>
      <c r="Y97" s="103"/>
      <c r="Z97" s="103"/>
      <c r="AA97" s="103"/>
      <c r="AB97" s="103"/>
      <c r="AC97" s="103"/>
      <c r="AD97" s="103"/>
      <c r="AE97" s="103"/>
      <c r="AG97" s="103"/>
      <c r="AH97" s="103"/>
      <c r="AI97" s="103"/>
    </row>
    <row r="98" spans="1:35" ht="7.8" customHeight="1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P98" s="103"/>
      <c r="Q98" s="103"/>
      <c r="R98" s="103"/>
      <c r="S98" s="103"/>
      <c r="T98" s="103"/>
      <c r="U98" s="103"/>
      <c r="V98" s="103"/>
      <c r="W98" s="103"/>
      <c r="Y98" s="103"/>
      <c r="Z98" s="103"/>
      <c r="AA98" s="103"/>
      <c r="AB98" s="103"/>
      <c r="AC98" s="103"/>
      <c r="AD98" s="103"/>
      <c r="AE98" s="103"/>
      <c r="AG98" s="103"/>
      <c r="AH98" s="103"/>
      <c r="AI98" s="103"/>
    </row>
    <row r="99" spans="1:35" ht="7.8" customHeight="1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P99" s="103"/>
      <c r="Q99" s="103"/>
      <c r="R99" s="103"/>
      <c r="S99" s="103"/>
      <c r="T99" s="103"/>
      <c r="U99" s="103"/>
      <c r="V99" s="103"/>
      <c r="W99" s="103"/>
      <c r="Y99" s="103"/>
      <c r="Z99" s="103"/>
      <c r="AA99" s="103"/>
      <c r="AB99" s="103"/>
      <c r="AC99" s="103"/>
      <c r="AD99" s="103"/>
      <c r="AE99" s="103"/>
      <c r="AG99" s="103"/>
      <c r="AH99" s="103"/>
      <c r="AI99" s="103"/>
    </row>
    <row r="100" spans="1:35" ht="7.8" customHeight="1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P100" s="103"/>
      <c r="Q100" s="103"/>
      <c r="R100" s="103"/>
      <c r="S100" s="103"/>
      <c r="T100" s="103"/>
      <c r="U100" s="103"/>
      <c r="V100" s="103"/>
      <c r="W100" s="103"/>
      <c r="Y100" s="103"/>
      <c r="Z100" s="103"/>
      <c r="AA100" s="103"/>
      <c r="AB100" s="103"/>
      <c r="AC100" s="103"/>
      <c r="AD100" s="103"/>
      <c r="AE100" s="103"/>
      <c r="AG100" s="103"/>
      <c r="AH100" s="103"/>
      <c r="AI100" s="103"/>
    </row>
    <row r="101" spans="1:35" ht="7.8" customHeight="1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P101" s="103"/>
      <c r="Q101" s="103"/>
      <c r="R101" s="103"/>
      <c r="S101" s="103"/>
      <c r="T101" s="103"/>
      <c r="U101" s="103"/>
      <c r="V101" s="103"/>
      <c r="W101" s="103"/>
      <c r="Y101" s="103"/>
      <c r="Z101" s="103"/>
      <c r="AA101" s="103"/>
      <c r="AB101" s="103"/>
      <c r="AC101" s="103"/>
      <c r="AD101" s="103"/>
      <c r="AE101" s="103"/>
      <c r="AG101" s="103"/>
      <c r="AH101" s="103"/>
      <c r="AI101" s="103"/>
    </row>
    <row r="102" spans="1:35" ht="7.8" customHeight="1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P102" s="103"/>
      <c r="Q102" s="103"/>
      <c r="R102" s="103"/>
      <c r="S102" s="103"/>
      <c r="T102" s="103"/>
      <c r="U102" s="103"/>
      <c r="V102" s="103"/>
      <c r="W102" s="103"/>
      <c r="Y102" s="103"/>
      <c r="Z102" s="103"/>
      <c r="AA102" s="103"/>
      <c r="AB102" s="103"/>
      <c r="AC102" s="103"/>
      <c r="AD102" s="103"/>
      <c r="AE102" s="103"/>
      <c r="AG102" s="103"/>
      <c r="AH102" s="103"/>
      <c r="AI102" s="103"/>
    </row>
    <row r="103" spans="1:35" ht="7.8" customHeight="1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P103" s="103"/>
      <c r="Q103" s="103"/>
      <c r="R103" s="103"/>
      <c r="S103" s="103"/>
      <c r="T103" s="103"/>
      <c r="U103" s="103"/>
      <c r="V103" s="103"/>
      <c r="W103" s="103"/>
      <c r="Y103" s="103"/>
      <c r="Z103" s="103"/>
      <c r="AA103" s="103"/>
      <c r="AB103" s="103"/>
      <c r="AC103" s="103"/>
      <c r="AD103" s="103"/>
      <c r="AE103" s="103"/>
      <c r="AG103" s="103"/>
      <c r="AH103" s="103"/>
      <c r="AI103" s="103"/>
    </row>
    <row r="104" spans="1:35" ht="7.8" customHeight="1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P104" s="103"/>
      <c r="Q104" s="103"/>
      <c r="R104" s="103"/>
      <c r="S104" s="103"/>
      <c r="T104" s="103"/>
      <c r="U104" s="103"/>
      <c r="V104" s="103"/>
      <c r="W104" s="103"/>
      <c r="Y104" s="103"/>
      <c r="Z104" s="103"/>
      <c r="AA104" s="103"/>
      <c r="AB104" s="103"/>
      <c r="AC104" s="103"/>
      <c r="AD104" s="103"/>
      <c r="AE104" s="103"/>
      <c r="AG104" s="103"/>
      <c r="AH104" s="103"/>
      <c r="AI104" s="103"/>
    </row>
    <row r="105" spans="1:35" ht="7.8" customHeight="1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P105" s="103"/>
      <c r="Q105" s="103"/>
      <c r="R105" s="103"/>
      <c r="S105" s="103"/>
      <c r="T105" s="103"/>
      <c r="U105" s="103"/>
      <c r="V105" s="103"/>
      <c r="W105" s="103"/>
      <c r="Y105" s="103"/>
      <c r="Z105" s="103"/>
      <c r="AA105" s="103"/>
      <c r="AB105" s="103"/>
      <c r="AC105" s="103"/>
      <c r="AD105" s="103"/>
      <c r="AE105" s="103"/>
      <c r="AG105" s="103"/>
      <c r="AH105" s="103"/>
      <c r="AI105" s="103"/>
    </row>
    <row r="106" spans="1:35" ht="7.8" customHeight="1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P106" s="103"/>
      <c r="Q106" s="103"/>
      <c r="R106" s="103"/>
      <c r="S106" s="103"/>
      <c r="T106" s="103"/>
      <c r="U106" s="103"/>
      <c r="V106" s="103"/>
      <c r="W106" s="103"/>
      <c r="Y106" s="103"/>
      <c r="Z106" s="103"/>
      <c r="AA106" s="103"/>
      <c r="AB106" s="103"/>
      <c r="AC106" s="103"/>
      <c r="AD106" s="103"/>
      <c r="AE106" s="103"/>
      <c r="AG106" s="103"/>
      <c r="AH106" s="103"/>
      <c r="AI106" s="103"/>
    </row>
    <row r="107" spans="1:35" ht="7.8" customHeight="1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P107" s="103"/>
      <c r="Q107" s="103"/>
      <c r="R107" s="103"/>
      <c r="S107" s="103"/>
      <c r="T107" s="103"/>
      <c r="U107" s="103"/>
      <c r="V107" s="103"/>
      <c r="W107" s="103"/>
      <c r="Y107" s="103"/>
      <c r="Z107" s="103"/>
      <c r="AA107" s="103"/>
      <c r="AB107" s="103"/>
      <c r="AC107" s="103"/>
      <c r="AD107" s="103"/>
      <c r="AE107" s="103"/>
      <c r="AG107" s="103"/>
      <c r="AH107" s="103"/>
      <c r="AI107" s="103"/>
    </row>
    <row r="108" spans="1:35" ht="7.8" customHeight="1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P108" s="103"/>
      <c r="Q108" s="103"/>
      <c r="R108" s="103"/>
      <c r="S108" s="103"/>
      <c r="T108" s="103"/>
      <c r="U108" s="103"/>
      <c r="V108" s="103"/>
      <c r="W108" s="103"/>
      <c r="Y108" s="103"/>
      <c r="Z108" s="103"/>
      <c r="AA108" s="103"/>
      <c r="AB108" s="103"/>
      <c r="AC108" s="103"/>
      <c r="AD108" s="103"/>
      <c r="AE108" s="103"/>
      <c r="AG108" s="103"/>
      <c r="AH108" s="103"/>
      <c r="AI108" s="103"/>
    </row>
    <row r="109" spans="1:35" ht="7.8" customHeight="1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P109" s="103"/>
      <c r="Q109" s="103"/>
      <c r="R109" s="103"/>
      <c r="S109" s="103"/>
      <c r="T109" s="103"/>
      <c r="U109" s="103"/>
      <c r="V109" s="103"/>
      <c r="W109" s="103"/>
      <c r="Y109" s="103"/>
      <c r="Z109" s="103"/>
      <c r="AA109" s="103"/>
      <c r="AB109" s="103"/>
      <c r="AC109" s="103"/>
      <c r="AD109" s="103"/>
      <c r="AE109" s="103"/>
      <c r="AG109" s="103"/>
      <c r="AH109" s="103"/>
      <c r="AI109" s="103"/>
    </row>
    <row r="110" spans="1:35" ht="7.8" customHeight="1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P110" s="103"/>
      <c r="Q110" s="103"/>
      <c r="R110" s="103"/>
      <c r="S110" s="103"/>
      <c r="T110" s="103"/>
      <c r="U110" s="103"/>
      <c r="V110" s="103"/>
      <c r="W110" s="103"/>
      <c r="Y110" s="103"/>
      <c r="Z110" s="103"/>
      <c r="AA110" s="103"/>
      <c r="AB110" s="103"/>
      <c r="AC110" s="103"/>
      <c r="AD110" s="103"/>
      <c r="AE110" s="103"/>
      <c r="AG110" s="103"/>
      <c r="AH110" s="103"/>
      <c r="AI110" s="103"/>
    </row>
    <row r="111" spans="1:35" ht="7.8" customHeight="1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P111" s="103"/>
      <c r="Q111" s="103"/>
      <c r="R111" s="103"/>
      <c r="S111" s="103"/>
      <c r="T111" s="103"/>
      <c r="U111" s="103"/>
      <c r="V111" s="103"/>
      <c r="W111" s="103"/>
      <c r="Y111" s="103"/>
      <c r="Z111" s="103"/>
      <c r="AA111" s="103"/>
      <c r="AB111" s="103"/>
      <c r="AC111" s="103"/>
      <c r="AD111" s="103"/>
      <c r="AE111" s="103"/>
      <c r="AG111" s="103"/>
      <c r="AH111" s="103"/>
      <c r="AI111" s="103"/>
    </row>
    <row r="112" spans="1:35" ht="7.8" customHeight="1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P112" s="103"/>
      <c r="Q112" s="103"/>
      <c r="R112" s="103"/>
      <c r="S112" s="103"/>
      <c r="T112" s="103"/>
      <c r="U112" s="103"/>
      <c r="V112" s="103"/>
      <c r="W112" s="103"/>
      <c r="Y112" s="103"/>
      <c r="Z112" s="103"/>
      <c r="AA112" s="103"/>
      <c r="AB112" s="103"/>
      <c r="AC112" s="103"/>
      <c r="AD112" s="103"/>
      <c r="AE112" s="103"/>
      <c r="AG112" s="103"/>
      <c r="AH112" s="103"/>
      <c r="AI112" s="103"/>
    </row>
    <row r="113" spans="1:35" ht="7.8" customHeight="1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P113" s="103"/>
      <c r="Q113" s="103"/>
      <c r="R113" s="103"/>
      <c r="S113" s="103"/>
      <c r="T113" s="103"/>
      <c r="U113" s="103"/>
      <c r="V113" s="103"/>
      <c r="W113" s="103"/>
      <c r="Y113" s="103"/>
      <c r="Z113" s="103"/>
      <c r="AA113" s="103"/>
      <c r="AB113" s="103"/>
      <c r="AC113" s="103"/>
      <c r="AD113" s="103"/>
      <c r="AE113" s="103"/>
      <c r="AG113" s="103"/>
      <c r="AH113" s="103"/>
      <c r="AI113" s="103"/>
    </row>
    <row r="114" spans="1:35" ht="7.8" customHeight="1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P114" s="103"/>
      <c r="Q114" s="103"/>
      <c r="R114" s="103"/>
      <c r="S114" s="103"/>
      <c r="T114" s="103"/>
      <c r="U114" s="103"/>
      <c r="V114" s="103"/>
      <c r="W114" s="103"/>
      <c r="Y114" s="103"/>
      <c r="Z114" s="103"/>
      <c r="AA114" s="103"/>
      <c r="AB114" s="103"/>
      <c r="AC114" s="103"/>
      <c r="AD114" s="103"/>
      <c r="AE114" s="103"/>
      <c r="AG114" s="103"/>
      <c r="AH114" s="103"/>
      <c r="AI114" s="103"/>
    </row>
    <row r="115" spans="1:35" ht="7.8" customHeight="1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P115" s="103"/>
      <c r="Q115" s="103"/>
      <c r="R115" s="103"/>
      <c r="S115" s="103"/>
      <c r="T115" s="103"/>
      <c r="U115" s="103"/>
      <c r="V115" s="103"/>
      <c r="W115" s="103"/>
      <c r="Y115" s="103"/>
      <c r="Z115" s="103"/>
      <c r="AA115" s="103"/>
      <c r="AB115" s="103"/>
      <c r="AC115" s="103"/>
      <c r="AD115" s="103"/>
      <c r="AE115" s="103"/>
      <c r="AG115" s="103"/>
      <c r="AH115" s="103"/>
      <c r="AI115" s="103"/>
    </row>
    <row r="116" spans="1:35" ht="7.8" customHeight="1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P116" s="103"/>
      <c r="Q116" s="103"/>
      <c r="R116" s="103"/>
      <c r="S116" s="103"/>
      <c r="T116" s="103"/>
      <c r="U116" s="103"/>
      <c r="V116" s="103"/>
      <c r="W116" s="103"/>
      <c r="Y116" s="103"/>
      <c r="Z116" s="103"/>
      <c r="AA116" s="103"/>
      <c r="AB116" s="103"/>
      <c r="AC116" s="103"/>
      <c r="AD116" s="103"/>
      <c r="AE116" s="103"/>
      <c r="AG116" s="103"/>
      <c r="AH116" s="103"/>
      <c r="AI116" s="103"/>
    </row>
    <row r="117" spans="1:35" ht="7.8" customHeight="1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P117" s="103"/>
      <c r="Q117" s="103"/>
      <c r="R117" s="103"/>
      <c r="S117" s="103"/>
      <c r="T117" s="103"/>
      <c r="U117" s="103"/>
      <c r="V117" s="103"/>
      <c r="W117" s="103"/>
      <c r="Y117" s="103"/>
      <c r="Z117" s="103"/>
      <c r="AA117" s="103"/>
      <c r="AB117" s="103"/>
      <c r="AC117" s="103"/>
      <c r="AD117" s="103"/>
      <c r="AE117" s="103"/>
      <c r="AG117" s="103"/>
      <c r="AH117" s="103"/>
      <c r="AI117" s="103"/>
    </row>
    <row r="118" spans="1:35" ht="7.8" customHeight="1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P118" s="103"/>
      <c r="Q118" s="103"/>
      <c r="R118" s="103"/>
      <c r="S118" s="103"/>
      <c r="T118" s="103"/>
      <c r="U118" s="103"/>
      <c r="V118" s="103"/>
      <c r="W118" s="103"/>
      <c r="Y118" s="103"/>
      <c r="Z118" s="103"/>
      <c r="AA118" s="103"/>
      <c r="AB118" s="103"/>
      <c r="AC118" s="103"/>
      <c r="AD118" s="103"/>
      <c r="AE118" s="103"/>
      <c r="AG118" s="103"/>
      <c r="AH118" s="103"/>
      <c r="AI118" s="103"/>
    </row>
    <row r="119" spans="1:35" ht="7.8" customHeight="1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P119" s="103"/>
      <c r="Q119" s="103"/>
      <c r="R119" s="103"/>
      <c r="S119" s="103"/>
      <c r="T119" s="103"/>
      <c r="U119" s="103"/>
      <c r="V119" s="103"/>
      <c r="W119" s="103"/>
      <c r="Y119" s="103"/>
      <c r="Z119" s="103"/>
      <c r="AA119" s="103"/>
      <c r="AB119" s="103"/>
      <c r="AC119" s="103"/>
      <c r="AD119" s="103"/>
      <c r="AE119" s="103"/>
      <c r="AG119" s="103"/>
      <c r="AH119" s="103"/>
      <c r="AI119" s="103"/>
    </row>
    <row r="120" spans="1:35" ht="7.8" customHeight="1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P120" s="103"/>
      <c r="Q120" s="103"/>
      <c r="R120" s="103"/>
      <c r="S120" s="103"/>
      <c r="T120" s="103"/>
      <c r="U120" s="103"/>
      <c r="V120" s="103"/>
      <c r="W120" s="103"/>
      <c r="Y120" s="103"/>
      <c r="Z120" s="103"/>
      <c r="AA120" s="103"/>
      <c r="AB120" s="103"/>
      <c r="AC120" s="103"/>
      <c r="AD120" s="103"/>
      <c r="AE120" s="103"/>
      <c r="AG120" s="103"/>
      <c r="AH120" s="103"/>
      <c r="AI120" s="103"/>
    </row>
    <row r="121" spans="1:35" ht="7.8" customHeight="1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P121" s="103"/>
      <c r="Q121" s="103"/>
      <c r="R121" s="103"/>
      <c r="S121" s="103"/>
      <c r="T121" s="103"/>
      <c r="U121" s="103"/>
      <c r="V121" s="103"/>
      <c r="W121" s="103"/>
      <c r="Y121" s="103"/>
      <c r="Z121" s="103"/>
      <c r="AA121" s="103"/>
      <c r="AB121" s="103"/>
      <c r="AC121" s="103"/>
      <c r="AD121" s="103"/>
      <c r="AE121" s="103"/>
      <c r="AG121" s="103"/>
      <c r="AH121" s="103"/>
      <c r="AI121" s="103"/>
    </row>
    <row r="122" spans="1:35" ht="7.8" customHeight="1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P122" s="103"/>
      <c r="Q122" s="103"/>
      <c r="R122" s="103"/>
      <c r="S122" s="103"/>
      <c r="T122" s="103"/>
      <c r="U122" s="103"/>
      <c r="V122" s="103"/>
      <c r="W122" s="103"/>
      <c r="Y122" s="103"/>
      <c r="Z122" s="103"/>
      <c r="AA122" s="103"/>
      <c r="AB122" s="103"/>
      <c r="AC122" s="103"/>
      <c r="AD122" s="103"/>
      <c r="AE122" s="103"/>
      <c r="AG122" s="103"/>
      <c r="AH122" s="103"/>
      <c r="AI122" s="103"/>
    </row>
    <row r="123" spans="1:35" ht="7.8" customHeight="1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P123" s="103"/>
      <c r="Q123" s="103"/>
      <c r="R123" s="103"/>
      <c r="S123" s="103"/>
      <c r="T123" s="103"/>
      <c r="U123" s="103"/>
      <c r="V123" s="103"/>
      <c r="W123" s="103"/>
      <c r="Y123" s="103"/>
      <c r="Z123" s="103"/>
      <c r="AA123" s="103"/>
      <c r="AB123" s="103"/>
      <c r="AC123" s="103"/>
      <c r="AD123" s="103"/>
      <c r="AE123" s="103"/>
      <c r="AG123" s="103"/>
      <c r="AH123" s="103"/>
      <c r="AI123" s="103"/>
    </row>
  </sheetData>
  <mergeCells count="29">
    <mergeCell ref="F3:H3"/>
    <mergeCell ref="F34:H34"/>
    <mergeCell ref="W3:Y3"/>
    <mergeCell ref="N34:P34"/>
    <mergeCell ref="N3:P3"/>
    <mergeCell ref="N4:P4"/>
    <mergeCell ref="N14:P14"/>
    <mergeCell ref="N22:O22"/>
    <mergeCell ref="W22:X22"/>
    <mergeCell ref="F22:G22"/>
    <mergeCell ref="F14:H14"/>
    <mergeCell ref="W14:Y14"/>
    <mergeCell ref="AE4:AG4"/>
    <mergeCell ref="AE14:AG14"/>
    <mergeCell ref="K32:O32"/>
    <mergeCell ref="J63:P63"/>
    <mergeCell ref="F35:H35"/>
    <mergeCell ref="F4:H4"/>
    <mergeCell ref="W4:Y4"/>
    <mergeCell ref="N35:P35"/>
    <mergeCell ref="N53:O53"/>
    <mergeCell ref="F53:G53"/>
    <mergeCell ref="F45:H45"/>
    <mergeCell ref="N45:P45"/>
    <mergeCell ref="C63:G63"/>
    <mergeCell ref="T32:X32"/>
    <mergeCell ref="C32:G32"/>
    <mergeCell ref="AE22:AF22"/>
    <mergeCell ref="AB32:AF32"/>
  </mergeCells>
  <phoneticPr fontId="1" type="noConversion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Triodes and r  Rp </vt:lpstr>
      <vt:lpstr>Mu Circuit spreadsheet Tables</vt:lpstr>
    </vt:vector>
  </TitlesOfParts>
  <Company>Motorola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Paul</dc:creator>
  <cp:lastModifiedBy>C Paul</cp:lastModifiedBy>
  <cp:lastPrinted>2016-04-13T22:35:45Z</cp:lastPrinted>
  <dcterms:created xsi:type="dcterms:W3CDTF">2014-11-30T15:29:16Z</dcterms:created>
  <dcterms:modified xsi:type="dcterms:W3CDTF">2016-04-17T17:01:16Z</dcterms:modified>
</cp:coreProperties>
</file>